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ustomProperty3.bin" ContentType="application/vnd.openxmlformats-officedocument.spreadsheetml.customProperty"/>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ustomProperty6.bin" ContentType="application/vnd.openxmlformats-officedocument.spreadsheetml.customProperty"/>
  <Override PartName="/xl/drawings/drawing7.xml" ContentType="application/vnd.openxmlformats-officedocument.drawing+xml"/>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V:\PMTA\70_Communication\02_WEBSEITE\01_Documents Backend Global Procurement\Coupa Downloads\Update 2024-06-26\"/>
    </mc:Choice>
  </mc:AlternateContent>
  <xr:revisionPtr revIDLastSave="0" documentId="8_{1623338D-F7C8-4049-B022-959FF1B40292}" xr6:coauthVersionLast="47" xr6:coauthVersionMax="47" xr10:uidLastSave="{00000000-0000-0000-0000-000000000000}"/>
  <bookViews>
    <workbookView xWindow="-120" yWindow="-120" windowWidth="29040" windowHeight="15840" tabRatio="849" activeTab="6" xr2:uid="{00000000-000D-0000-FFFF-FFFF00000000}"/>
  </bookViews>
  <sheets>
    <sheet name="Data Protection Information" sheetId="27" r:id="rId1"/>
    <sheet name="Explanation" sheetId="25" r:id="rId2"/>
    <sheet name="A Company Profile" sheetId="1" r:id="rId3"/>
    <sheet name="B Financial &amp; C Quality" sheetId="2" r:id="rId4"/>
    <sheet name="D HSE Evaluation" sheetId="18" r:id="rId5"/>
    <sheet name="E Social Responsibility" sheetId="17" r:id="rId6"/>
    <sheet name="F Supplier Approval Form" sheetId="23" r:id="rId7"/>
    <sheet name="Language table" sheetId="19" state="hidden" r:id="rId8"/>
    <sheet name="Revision list" sheetId="26" state="hidden" r:id="rId9"/>
  </sheets>
  <definedNames>
    <definedName name="Approval">'Language table'!$B$8:$E$8</definedName>
    <definedName name="BPC">'Language table'!$W$13:$Y$193</definedName>
    <definedName name="Conditions">'Language table'!$E$20:$E$25</definedName>
    <definedName name="Country">'Language table'!$W$12:$W$193</definedName>
    <definedName name="CScat">'Language table'!$E$60:$E$63</definedName>
    <definedName name="Currency">'Language table'!$U$12:$U$203</definedName>
    <definedName name="CurrencyShort">'Language table'!$R$12:$R$203</definedName>
    <definedName name="CyberSecurity">'Language table'!$E$37:$E$44</definedName>
    <definedName name="Decision">'Language table'!$E$30:$E$33</definedName>
    <definedName name="_xlnm.Print_Area" localSheetId="2">'A Company Profile'!$A$1:$K$61</definedName>
    <definedName name="_xlnm.Print_Area" localSheetId="3">'B Financial &amp; C Quality'!$A$1:$K$60</definedName>
    <definedName name="_xlnm.Print_Area" localSheetId="4">'D HSE Evaluation'!$A$1:$F$46</definedName>
    <definedName name="_xlnm.Print_Area" localSheetId="0">'Data Protection Information'!$A$1:$Y$151</definedName>
    <definedName name="_xlnm.Print_Area" localSheetId="5">'E Social Responsibility'!$A$1:$G$98</definedName>
    <definedName name="_xlnm.Print_Area" localSheetId="1">Explanation!$A$1:$Y$42</definedName>
    <definedName name="_xlnm.Print_Area" localSheetId="6">'F Supplier Approval Form'!$A$1:$N$83</definedName>
    <definedName name="_xlnm.Print_Titles" localSheetId="4">'D HSE Evaluation'!$1:$3</definedName>
    <definedName name="_xlnm.Print_Titles" localSheetId="5">'E Social Responsibility'!$1:$3</definedName>
    <definedName name="_xlnm.Print_Titles" localSheetId="6">'F Supplier Approval Form'!$1:$16</definedName>
    <definedName name="Incoterms">'Language table'!$E$13:$E$16</definedName>
    <definedName name="Insurance">'Language table'!$E$50:$E$56</definedName>
    <definedName name="Lab">'F Supplier Approval Form'!$M$18</definedName>
    <definedName name="Language">'F Supplier Approval Form'!$A$1</definedName>
    <definedName name="Rating">'Language table'!$B$7:$E$7</definedName>
    <definedName name="Requirements">'Language table'!$G$13:$J$28</definedName>
    <definedName name="SAP">'Language table'!$E$67:$E$73</definedName>
    <definedName name="Selection">'Language table'!$B$4:$D$4</definedName>
    <definedName name="Selection2">'Language table'!$B$6:$E$6</definedName>
    <definedName name="Selection3">'Language table'!$B$4:$E$4</definedName>
    <definedName name="Selection4">'Language table'!$B$9:$E$9</definedName>
    <definedName name="TC">'Language table'!$L$12:$L$81</definedName>
    <definedName name="TCname">'Language table'!$N$13:$O$81</definedName>
    <definedName name="Translation">'Language table'!$B$12:$C$341</definedName>
    <definedName name="Usage">'Language table'!$B$5:$E$5</definedName>
    <definedName name="VC">'F Supplier Approval Form'!$A$19</definedName>
    <definedName name="VendorClass">'Language table'!$B$3:$F$3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23" l="1"/>
  <c r="E44" i="23"/>
  <c r="E67" i="19"/>
  <c r="A5" i="23"/>
  <c r="M46" i="23" l="1"/>
  <c r="J46" i="23"/>
  <c r="G46" i="23"/>
  <c r="K46" i="23"/>
  <c r="H46" i="23"/>
  <c r="E46" i="23"/>
  <c r="A43" i="23"/>
  <c r="D46" i="23"/>
  <c r="A46" i="23"/>
  <c r="C64" i="23"/>
  <c r="E25" i="19"/>
  <c r="E24" i="19"/>
  <c r="E23" i="19"/>
  <c r="E22" i="19"/>
  <c r="E21" i="19"/>
  <c r="A60" i="2"/>
  <c r="A59" i="2"/>
  <c r="K63" i="23"/>
  <c r="E20" i="19"/>
  <c r="A63" i="23"/>
  <c r="A58" i="2"/>
  <c r="A57" i="2"/>
  <c r="A77" i="23"/>
  <c r="A66" i="23"/>
  <c r="H83" i="23"/>
  <c r="A83" i="23"/>
  <c r="H82" i="23"/>
  <c r="A82" i="23"/>
  <c r="H81" i="23"/>
  <c r="A81" i="23"/>
  <c r="H80" i="23"/>
  <c r="A80" i="23"/>
  <c r="H79" i="23"/>
  <c r="A79" i="23"/>
  <c r="H78" i="23"/>
  <c r="A78" i="23"/>
  <c r="E56" i="19"/>
  <c r="E55" i="19" l="1"/>
  <c r="K4" i="2" l="1"/>
  <c r="A17" i="2"/>
  <c r="D9" i="19"/>
  <c r="C9" i="19"/>
  <c r="B9" i="19"/>
  <c r="R12" i="19"/>
  <c r="E18" i="23" l="1"/>
  <c r="E21" i="23"/>
  <c r="E20" i="23"/>
  <c r="E19" i="23"/>
  <c r="A18" i="23"/>
  <c r="A17" i="23"/>
  <c r="I18" i="23"/>
  <c r="E53" i="19" l="1"/>
  <c r="E4" i="19"/>
  <c r="L13" i="19"/>
  <c r="D6" i="19"/>
  <c r="E60" i="19"/>
  <c r="G32" i="23"/>
  <c r="A27" i="23"/>
  <c r="O3" i="19" l="1"/>
  <c r="B40" i="17"/>
  <c r="B39" i="17"/>
  <c r="B38" i="17"/>
  <c r="B37" i="17"/>
  <c r="B24" i="17"/>
  <c r="B22" i="17"/>
  <c r="B23" i="17"/>
  <c r="B21" i="17"/>
  <c r="B20" i="17"/>
  <c r="B19" i="17"/>
  <c r="E30" i="19" l="1"/>
  <c r="E33" i="19"/>
  <c r="E32" i="19"/>
  <c r="E31" i="19"/>
  <c r="E8" i="19"/>
  <c r="B42" i="18"/>
  <c r="B43" i="18"/>
  <c r="B39" i="18"/>
  <c r="B40" i="18"/>
  <c r="H51" i="23" l="1"/>
  <c r="A51" i="23"/>
  <c r="A52" i="23"/>
  <c r="H52" i="23"/>
  <c r="I57" i="23"/>
  <c r="F37" i="2"/>
  <c r="A41" i="23"/>
  <c r="A8" i="2" l="1"/>
  <c r="E51" i="19"/>
  <c r="E52" i="19"/>
  <c r="H73" i="23" l="1"/>
  <c r="A75" i="23"/>
  <c r="A74" i="23"/>
  <c r="A73" i="23"/>
  <c r="B50" i="23" l="1"/>
  <c r="E54" i="19"/>
  <c r="E50" i="19"/>
  <c r="A64" i="23"/>
  <c r="B31" i="23" l="1"/>
  <c r="B32" i="23"/>
  <c r="D41" i="23"/>
  <c r="D40" i="23"/>
  <c r="D39" i="23"/>
  <c r="D37" i="23"/>
  <c r="D35" i="23"/>
  <c r="D34" i="23"/>
  <c r="D43" i="23"/>
  <c r="E43" i="23" l="1"/>
  <c r="F27" i="19"/>
  <c r="H75" i="23"/>
  <c r="H74" i="23"/>
  <c r="F26" i="19"/>
  <c r="B27" i="23"/>
  <c r="F16" i="19" s="1"/>
  <c r="W12" i="19"/>
  <c r="U12" i="19"/>
  <c r="A36" i="2"/>
  <c r="F11" i="18" l="1"/>
  <c r="B13" i="18"/>
  <c r="B11" i="18"/>
  <c r="B37" i="18"/>
  <c r="E43" i="19" l="1"/>
  <c r="E44" i="19"/>
  <c r="E38" i="19" l="1"/>
  <c r="E37" i="19"/>
  <c r="B12" i="23" l="1"/>
  <c r="J50" i="23" l="1"/>
  <c r="H50" i="23"/>
  <c r="A50" i="23"/>
  <c r="H54" i="23" l="1"/>
  <c r="A54" i="23"/>
  <c r="H53" i="23"/>
  <c r="A53" i="23"/>
  <c r="A49" i="23"/>
  <c r="F65" i="17" l="1"/>
  <c r="C65" i="17"/>
  <c r="A38" i="1"/>
  <c r="F8" i="17"/>
  <c r="B64" i="17"/>
  <c r="A37" i="1"/>
  <c r="E65" i="17"/>
  <c r="F26" i="1"/>
  <c r="A65" i="17"/>
  <c r="C26" i="1"/>
  <c r="B13" i="23" l="1"/>
  <c r="A13" i="23"/>
  <c r="D14" i="23"/>
  <c r="A14" i="23"/>
  <c r="H14" i="23"/>
  <c r="K10" i="23"/>
  <c r="K11" i="23"/>
  <c r="H11" i="23"/>
  <c r="K12" i="23"/>
  <c r="K13" i="23"/>
  <c r="H12" i="23"/>
  <c r="H13" i="23"/>
  <c r="K14" i="23"/>
  <c r="F14" i="1"/>
  <c r="A16" i="1"/>
  <c r="A14" i="1"/>
  <c r="F12" i="1"/>
  <c r="A12" i="1"/>
  <c r="B44" i="18"/>
  <c r="G31" i="23" l="1"/>
  <c r="G27" i="23"/>
  <c r="F20" i="19"/>
  <c r="B30" i="23"/>
  <c r="F19" i="19" s="1"/>
  <c r="D31" i="23"/>
  <c r="I31" i="23" s="1"/>
  <c r="B41" i="18" l="1"/>
  <c r="B46" i="18"/>
  <c r="B45" i="18"/>
  <c r="B38" i="18"/>
  <c r="C3" i="18" l="1"/>
  <c r="A35" i="2"/>
  <c r="K9" i="23" l="1"/>
  <c r="F8" i="1"/>
  <c r="F10" i="1"/>
  <c r="F16" i="1"/>
  <c r="F18" i="1"/>
  <c r="F20" i="1"/>
  <c r="A33" i="1"/>
  <c r="A32" i="1"/>
  <c r="A31" i="1"/>
  <c r="E22" i="1" l="1"/>
  <c r="A22" i="1"/>
  <c r="H15" i="23"/>
  <c r="D15" i="23" l="1"/>
  <c r="B11" i="23"/>
  <c r="B10" i="23"/>
  <c r="B9" i="23"/>
  <c r="L15" i="23" l="1"/>
  <c r="A15" i="23"/>
  <c r="A20" i="1"/>
  <c r="O13" i="19" l="1"/>
  <c r="N13" i="19"/>
  <c r="G37" i="19"/>
  <c r="F37" i="19"/>
  <c r="L81" i="19" l="1"/>
  <c r="L57" i="19"/>
  <c r="L65" i="19"/>
  <c r="L73" i="19"/>
  <c r="L56" i="19"/>
  <c r="L66" i="19"/>
  <c r="L58" i="19"/>
  <c r="L59" i="19"/>
  <c r="L67" i="19"/>
  <c r="L75" i="19"/>
  <c r="L68" i="19"/>
  <c r="L76" i="19"/>
  <c r="L60" i="19"/>
  <c r="L61" i="19"/>
  <c r="L69" i="19"/>
  <c r="L77" i="19"/>
  <c r="L70" i="19"/>
  <c r="L78" i="19"/>
  <c r="L79" i="19"/>
  <c r="L72" i="19"/>
  <c r="L74" i="19"/>
  <c r="L62" i="19"/>
  <c r="L63" i="19"/>
  <c r="L71" i="19"/>
  <c r="L64" i="19"/>
  <c r="L80" i="19"/>
  <c r="B1" i="23"/>
  <c r="L14" i="19"/>
  <c r="I42" i="23" l="1"/>
  <c r="I41" i="23"/>
  <c r="E24" i="23" l="1"/>
  <c r="F9" i="18"/>
  <c r="F7" i="18"/>
  <c r="B47" i="23"/>
  <c r="A55" i="2" l="1"/>
  <c r="A54" i="2"/>
  <c r="D27" i="23" l="1"/>
  <c r="N6" i="25" l="1"/>
  <c r="G47" i="23" l="1"/>
  <c r="A47" i="23"/>
  <c r="I47" i="23"/>
  <c r="A19" i="2"/>
  <c r="C5" i="19"/>
  <c r="U14" i="19" l="1"/>
  <c r="U15" i="19"/>
  <c r="U16" i="19"/>
  <c r="U17" i="19"/>
  <c r="U18" i="19"/>
  <c r="U19" i="19"/>
  <c r="U20" i="19"/>
  <c r="U21" i="19"/>
  <c r="U22" i="19"/>
  <c r="U23" i="19"/>
  <c r="U24" i="19"/>
  <c r="U25" i="19"/>
  <c r="U26" i="19"/>
  <c r="U27" i="19"/>
  <c r="U28" i="19"/>
  <c r="U29" i="19"/>
  <c r="U30" i="19"/>
  <c r="U31" i="19"/>
  <c r="U32" i="19"/>
  <c r="U33" i="19"/>
  <c r="U34" i="19"/>
  <c r="U35" i="19"/>
  <c r="U36" i="19"/>
  <c r="U37" i="19"/>
  <c r="U38" i="19"/>
  <c r="U39" i="19"/>
  <c r="U40" i="19"/>
  <c r="U41" i="19"/>
  <c r="U42" i="19"/>
  <c r="U43" i="19"/>
  <c r="U44" i="19"/>
  <c r="U45" i="19"/>
  <c r="U46" i="19"/>
  <c r="U47" i="19"/>
  <c r="U48" i="19"/>
  <c r="U49" i="19"/>
  <c r="U50" i="19"/>
  <c r="U51" i="19"/>
  <c r="U52" i="19"/>
  <c r="U53" i="19"/>
  <c r="U54" i="19"/>
  <c r="U55" i="19"/>
  <c r="U56" i="19"/>
  <c r="U57" i="19"/>
  <c r="U58" i="19"/>
  <c r="U59" i="19"/>
  <c r="U60" i="19"/>
  <c r="U61" i="19"/>
  <c r="U62" i="19"/>
  <c r="U63" i="19"/>
  <c r="U64" i="19"/>
  <c r="U65" i="19"/>
  <c r="U66" i="19"/>
  <c r="U67" i="19"/>
  <c r="U68" i="19"/>
  <c r="U69" i="19"/>
  <c r="U70" i="19"/>
  <c r="U71" i="19"/>
  <c r="U72" i="19"/>
  <c r="U73" i="19"/>
  <c r="U74" i="19"/>
  <c r="U75" i="19"/>
  <c r="U76" i="19"/>
  <c r="U77" i="19"/>
  <c r="U78" i="19"/>
  <c r="U79" i="19"/>
  <c r="U80" i="19"/>
  <c r="U81" i="19"/>
  <c r="U82" i="19"/>
  <c r="U83" i="19"/>
  <c r="U84" i="19"/>
  <c r="U85" i="19"/>
  <c r="U86" i="19"/>
  <c r="U87" i="19"/>
  <c r="U88" i="19"/>
  <c r="U89" i="19"/>
  <c r="U90" i="19"/>
  <c r="U91" i="19"/>
  <c r="U92" i="19"/>
  <c r="U93" i="19"/>
  <c r="U94" i="19"/>
  <c r="U95" i="19"/>
  <c r="U96" i="19"/>
  <c r="U97" i="19"/>
  <c r="U98" i="19"/>
  <c r="U99" i="19"/>
  <c r="U100" i="19"/>
  <c r="U101" i="19"/>
  <c r="U102" i="19"/>
  <c r="U103" i="19"/>
  <c r="U104" i="19"/>
  <c r="U105" i="19"/>
  <c r="U106" i="19"/>
  <c r="U107" i="19"/>
  <c r="U108" i="19"/>
  <c r="U109" i="19"/>
  <c r="U110" i="19"/>
  <c r="U111" i="19"/>
  <c r="U112" i="19"/>
  <c r="U113" i="19"/>
  <c r="U114" i="19"/>
  <c r="U115" i="19"/>
  <c r="U116" i="19"/>
  <c r="U117" i="19"/>
  <c r="U118" i="19"/>
  <c r="U119" i="19"/>
  <c r="U120" i="19"/>
  <c r="U121" i="19"/>
  <c r="U122" i="19"/>
  <c r="U123" i="19"/>
  <c r="U124" i="19"/>
  <c r="U125" i="19"/>
  <c r="U126" i="19"/>
  <c r="U127" i="19"/>
  <c r="U128" i="19"/>
  <c r="U129" i="19"/>
  <c r="U130" i="19"/>
  <c r="U131" i="19"/>
  <c r="U132" i="19"/>
  <c r="U133" i="19"/>
  <c r="U134" i="19"/>
  <c r="U135" i="19"/>
  <c r="U136" i="19"/>
  <c r="U137" i="19"/>
  <c r="U138" i="19"/>
  <c r="U139" i="19"/>
  <c r="U140" i="19"/>
  <c r="U141" i="19"/>
  <c r="U142" i="19"/>
  <c r="U143" i="19"/>
  <c r="U144" i="19"/>
  <c r="U145" i="19"/>
  <c r="U146" i="19"/>
  <c r="U147" i="19"/>
  <c r="U148" i="19"/>
  <c r="U149" i="19"/>
  <c r="U150" i="19"/>
  <c r="U151" i="19"/>
  <c r="U152" i="19"/>
  <c r="U153" i="19"/>
  <c r="U154" i="19"/>
  <c r="U155" i="19"/>
  <c r="U156" i="19"/>
  <c r="U157" i="19"/>
  <c r="U158" i="19"/>
  <c r="U159" i="19"/>
  <c r="U160" i="19"/>
  <c r="U161" i="19"/>
  <c r="U162" i="19"/>
  <c r="U163" i="19"/>
  <c r="U164" i="19"/>
  <c r="U165" i="19"/>
  <c r="U166" i="19"/>
  <c r="U167" i="19"/>
  <c r="U168" i="19"/>
  <c r="U169" i="19"/>
  <c r="U170" i="19"/>
  <c r="U171" i="19"/>
  <c r="U172" i="19"/>
  <c r="U173" i="19"/>
  <c r="U174" i="19"/>
  <c r="U175" i="19"/>
  <c r="U176" i="19"/>
  <c r="U177" i="19"/>
  <c r="U178" i="19"/>
  <c r="U179" i="19"/>
  <c r="U180" i="19"/>
  <c r="U181" i="19"/>
  <c r="U182" i="19"/>
  <c r="U183" i="19"/>
  <c r="U184" i="19"/>
  <c r="U185" i="19"/>
  <c r="U186" i="19"/>
  <c r="U187" i="19"/>
  <c r="U188" i="19"/>
  <c r="U189" i="19"/>
  <c r="U190" i="19"/>
  <c r="U191" i="19"/>
  <c r="U192" i="19"/>
  <c r="U193" i="19"/>
  <c r="U194" i="19"/>
  <c r="U195" i="19"/>
  <c r="U196" i="19"/>
  <c r="U197" i="19"/>
  <c r="U198" i="19"/>
  <c r="U199" i="19"/>
  <c r="U200" i="19"/>
  <c r="U201" i="19"/>
  <c r="U202" i="19"/>
  <c r="U203" i="19"/>
  <c r="U13" i="19"/>
  <c r="A9" i="23" l="1"/>
  <c r="H9" i="23"/>
  <c r="A8" i="23"/>
  <c r="B67" i="23" l="1"/>
  <c r="A6" i="23"/>
  <c r="H17" i="23" l="1"/>
  <c r="K24" i="23"/>
  <c r="H72" i="23"/>
  <c r="A72" i="23"/>
  <c r="H69" i="23"/>
  <c r="A69" i="23"/>
  <c r="H67" i="23"/>
  <c r="H71" i="23"/>
  <c r="A71" i="23"/>
  <c r="H68" i="23"/>
  <c r="A68" i="23"/>
  <c r="I61" i="23"/>
  <c r="H70" i="23"/>
  <c r="A70" i="23"/>
  <c r="A67" i="23"/>
  <c r="I62" i="23" l="1"/>
  <c r="G41" i="23"/>
  <c r="F61" i="23"/>
  <c r="A61" i="23"/>
  <c r="A60" i="23"/>
  <c r="A56" i="23"/>
  <c r="D8" i="19"/>
  <c r="B8" i="19"/>
  <c r="A58" i="23" l="1"/>
  <c r="A26" i="23"/>
  <c r="F15" i="19" s="1"/>
  <c r="A48" i="23"/>
  <c r="D24" i="23"/>
  <c r="D28" i="23"/>
  <c r="I28" i="23" s="1"/>
  <c r="D25" i="23"/>
  <c r="D26" i="23"/>
  <c r="D3" i="19" l="1"/>
  <c r="E3" i="19"/>
  <c r="F3" i="19"/>
  <c r="C3" i="19"/>
  <c r="A34" i="23" s="1"/>
  <c r="G4" i="23"/>
  <c r="A4" i="23"/>
  <c r="A3" i="23"/>
  <c r="C7" i="19"/>
  <c r="G57" i="23"/>
  <c r="G26" i="23"/>
  <c r="F21" i="19" l="1"/>
  <c r="G56" i="23"/>
  <c r="A23" i="23"/>
  <c r="E39" i="23"/>
  <c r="G40" i="23"/>
  <c r="G38" i="23"/>
  <c r="G34" i="23"/>
  <c r="G42" i="23"/>
  <c r="K37" i="23"/>
  <c r="E36" i="23"/>
  <c r="A35" i="23"/>
  <c r="F22" i="19" s="1"/>
  <c r="E7" i="19"/>
  <c r="D7" i="19"/>
  <c r="B7" i="19"/>
  <c r="A40" i="23"/>
  <c r="F25" i="19" s="1"/>
  <c r="A39" i="23"/>
  <c r="F24" i="19" s="1"/>
  <c r="A37" i="23"/>
  <c r="F23" i="19" s="1"/>
  <c r="A24" i="23"/>
  <c r="G24" i="23"/>
  <c r="L15" i="19" l="1"/>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12" i="19"/>
  <c r="K41" i="1" l="1"/>
  <c r="G28" i="23"/>
  <c r="G29" i="23"/>
  <c r="G30" i="23"/>
  <c r="B28" i="23"/>
  <c r="F17" i="19" s="1"/>
  <c r="A31" i="2"/>
  <c r="B29" i="23" l="1"/>
  <c r="F18" i="19" s="1"/>
  <c r="A25" i="23"/>
  <c r="F14" i="19" s="1"/>
  <c r="H10" i="23" l="1"/>
  <c r="A26" i="1"/>
  <c r="K4" i="23"/>
  <c r="A12" i="23"/>
  <c r="A11" i="23"/>
  <c r="A10" i="1"/>
  <c r="A10" i="23"/>
  <c r="A8" i="1"/>
  <c r="A4" i="1"/>
  <c r="B7" i="18" l="1"/>
  <c r="E12" i="17"/>
  <c r="A6" i="1"/>
  <c r="F12" i="17" l="1"/>
  <c r="B10" i="17"/>
  <c r="B13" i="17"/>
  <c r="E6" i="19" l="1"/>
  <c r="C6" i="19"/>
  <c r="B73" i="17"/>
  <c r="B72" i="17"/>
  <c r="B71" i="17"/>
  <c r="E70" i="17"/>
  <c r="B70" i="17"/>
  <c r="B68" i="17"/>
  <c r="B67" i="17"/>
  <c r="B63" i="17"/>
  <c r="B62" i="17"/>
  <c r="O4" i="19" l="1"/>
  <c r="M3" i="19"/>
  <c r="B61" i="17"/>
  <c r="B60" i="17"/>
  <c r="B58" i="17"/>
  <c r="B57" i="17"/>
  <c r="B56" i="17"/>
  <c r="B54" i="17"/>
  <c r="B53" i="17"/>
  <c r="B52" i="17"/>
  <c r="B51" i="17"/>
  <c r="B50" i="17"/>
  <c r="B48" i="17"/>
  <c r="B47" i="17"/>
  <c r="B46" i="17"/>
  <c r="B44" i="17"/>
  <c r="B43" i="17"/>
  <c r="B42" i="17"/>
  <c r="B36" i="17"/>
  <c r="B35" i="17"/>
  <c r="B34" i="17"/>
  <c r="B33" i="17"/>
  <c r="B32" i="17"/>
  <c r="B31" i="17"/>
  <c r="B30" i="17"/>
  <c r="B29" i="17"/>
  <c r="B28" i="17"/>
  <c r="B27" i="17"/>
  <c r="B26" i="17"/>
  <c r="B18" i="17"/>
  <c r="B17" i="17"/>
  <c r="B16" i="17"/>
  <c r="B15" i="17"/>
  <c r="B14" i="17"/>
  <c r="B11" i="17"/>
  <c r="B7" i="17"/>
  <c r="B6" i="17" l="1"/>
  <c r="B5" i="17"/>
  <c r="C3" i="17"/>
  <c r="A1" i="17" l="1"/>
  <c r="A1" i="18"/>
  <c r="B35" i="18" l="1"/>
  <c r="B34" i="18"/>
  <c r="B33" i="18"/>
  <c r="B32" i="18"/>
  <c r="B31" i="18"/>
  <c r="B30" i="18"/>
  <c r="B28" i="18"/>
  <c r="B27" i="18"/>
  <c r="B26" i="18"/>
  <c r="B25" i="18"/>
  <c r="B24" i="18"/>
  <c r="B23" i="18"/>
  <c r="B21" i="18"/>
  <c r="B20" i="18"/>
  <c r="B19" i="18"/>
  <c r="B18" i="18"/>
  <c r="B17" i="18"/>
  <c r="B16" i="18"/>
  <c r="B9" i="18"/>
  <c r="B5" i="18"/>
  <c r="B6" i="18" l="1"/>
  <c r="A27" i="2"/>
  <c r="A1" i="2"/>
  <c r="E5" i="19" l="1"/>
  <c r="D5" i="19"/>
  <c r="C4" i="19"/>
  <c r="H18" i="19" s="1"/>
  <c r="A52" i="2"/>
  <c r="A53" i="2"/>
  <c r="A51" i="2"/>
  <c r="A50" i="2"/>
  <c r="A49" i="2"/>
  <c r="H47" i="2"/>
  <c r="A48" i="2"/>
  <c r="J47" i="2"/>
  <c r="A47" i="2"/>
  <c r="A46" i="2"/>
  <c r="J41" i="2"/>
  <c r="H41" i="2"/>
  <c r="C41" i="2"/>
  <c r="A41" i="2"/>
  <c r="A40" i="2"/>
  <c r="J28" i="2"/>
  <c r="H28" i="2"/>
  <c r="E23" i="2"/>
  <c r="F28" i="2"/>
  <c r="D28" i="2"/>
  <c r="A34" i="2"/>
  <c r="A33" i="2"/>
  <c r="A32" i="2"/>
  <c r="A30" i="2"/>
  <c r="A29" i="2"/>
  <c r="A28" i="2"/>
  <c r="A26" i="2"/>
  <c r="B21" i="2"/>
  <c r="I12" i="2"/>
  <c r="G12" i="2"/>
  <c r="E12" i="2"/>
  <c r="C12" i="2"/>
  <c r="A12" i="2"/>
  <c r="A11" i="2"/>
  <c r="A10" i="2"/>
  <c r="A24" i="2"/>
  <c r="G23" i="2"/>
  <c r="A22" i="2"/>
  <c r="C23" i="2"/>
  <c r="D4" i="2"/>
  <c r="C22" i="2"/>
  <c r="A7" i="2"/>
  <c r="A6" i="2"/>
  <c r="A5" i="2"/>
  <c r="I4" i="2"/>
  <c r="F4" i="2"/>
  <c r="A4" i="2"/>
  <c r="B3" i="2"/>
  <c r="H19" i="19" l="1"/>
  <c r="D30" i="23" s="1"/>
  <c r="I30" i="23" s="1"/>
  <c r="D29" i="23"/>
  <c r="I29" i="23" s="1"/>
  <c r="K6" i="19"/>
  <c r="B6" i="19"/>
  <c r="B4" i="19"/>
  <c r="F13" i="18" s="1"/>
  <c r="B5" i="19"/>
  <c r="E13" i="19"/>
  <c r="A61" i="1"/>
  <c r="A60" i="1"/>
  <c r="A59" i="1"/>
  <c r="C53" i="1"/>
  <c r="A53" i="1"/>
  <c r="A52" i="1"/>
  <c r="K50" i="1"/>
  <c r="K49" i="1"/>
  <c r="K48" i="1"/>
  <c r="K47" i="1"/>
  <c r="D50" i="1"/>
  <c r="D49" i="1"/>
  <c r="D48" i="1"/>
  <c r="D47" i="1"/>
  <c r="A48" i="1"/>
  <c r="A47" i="1"/>
  <c r="G46" i="1"/>
  <c r="A46" i="1"/>
  <c r="G41" i="1"/>
  <c r="A41" i="1"/>
  <c r="J41" i="1"/>
  <c r="I41" i="1"/>
  <c r="H41" i="1"/>
  <c r="A45" i="1"/>
  <c r="D41" i="1"/>
  <c r="B41" i="1"/>
  <c r="G40" i="1"/>
  <c r="A40" i="1"/>
  <c r="A36" i="1"/>
  <c r="A35" i="1"/>
  <c r="A34" i="1"/>
  <c r="A30" i="1"/>
  <c r="A29" i="1"/>
  <c r="A28" i="1"/>
  <c r="A27" i="1"/>
  <c r="D4" i="19"/>
  <c r="A25" i="1"/>
  <c r="J26" i="1"/>
  <c r="A18" i="1"/>
  <c r="B3" i="1"/>
  <c r="A1" i="1"/>
  <c r="F14" i="18" l="1"/>
  <c r="I27" i="23"/>
  <c r="F12" i="18"/>
  <c r="F10" i="18"/>
  <c r="F8" i="18"/>
  <c r="M4" i="19" l="1"/>
  <c r="N4" i="19" l="1"/>
  <c r="K25" i="23" s="1"/>
  <c r="C66" i="23" s="1"/>
  <c r="C8" i="19" s="1"/>
  <c r="I25" i="23"/>
  <c r="C77" i="23" l="1"/>
  <c r="N6" i="19"/>
</calcChain>
</file>

<file path=xl/sharedStrings.xml><?xml version="1.0" encoding="utf-8"?>
<sst xmlns="http://schemas.openxmlformats.org/spreadsheetml/2006/main" count="2217" uniqueCount="1883">
  <si>
    <t>Supplier Self-Assessment</t>
  </si>
  <si>
    <t>Section A</t>
  </si>
  <si>
    <t>Company Profile</t>
  </si>
  <si>
    <t>Facility Address:</t>
  </si>
  <si>
    <t>Department:</t>
  </si>
  <si>
    <t>Post code, City, State:</t>
  </si>
  <si>
    <t>Country:</t>
  </si>
  <si>
    <t>DUNS-Number:</t>
  </si>
  <si>
    <t>Year</t>
  </si>
  <si>
    <t>Manufacturing</t>
  </si>
  <si>
    <t>Risk Assurance</t>
  </si>
  <si>
    <t>Amount of Coverage</t>
  </si>
  <si>
    <t>Yes</t>
  </si>
  <si>
    <t>No</t>
  </si>
  <si>
    <t>Type</t>
  </si>
  <si>
    <t>Section B</t>
  </si>
  <si>
    <t>Financials</t>
  </si>
  <si>
    <t>Bank Name &amp; Address</t>
  </si>
  <si>
    <t>SWIFT Code</t>
  </si>
  <si>
    <t>Account No.</t>
  </si>
  <si>
    <t>Routing No.</t>
  </si>
  <si>
    <t>Customer Name</t>
  </si>
  <si>
    <t>Standard</t>
  </si>
  <si>
    <t>Result</t>
  </si>
  <si>
    <t>Methods</t>
  </si>
  <si>
    <t xml:space="preserve">Process- and Machine capability studies </t>
  </si>
  <si>
    <t>CAD</t>
  </si>
  <si>
    <t>Other methods:</t>
  </si>
  <si>
    <t>Administration</t>
  </si>
  <si>
    <t>Quality Dep.</t>
  </si>
  <si>
    <t>*Investments</t>
  </si>
  <si>
    <t>*Sales</t>
  </si>
  <si>
    <t>Detailed Problem Solving Methodology &amp; Tools (5x Why, Ishikawa Diagram, etc.)</t>
  </si>
  <si>
    <t>Date</t>
  </si>
  <si>
    <t>2.1</t>
  </si>
  <si>
    <t>1.1</t>
  </si>
  <si>
    <t>2.2</t>
  </si>
  <si>
    <t>1.2</t>
  </si>
  <si>
    <t>2.3</t>
  </si>
  <si>
    <t>1.3</t>
  </si>
  <si>
    <t>2.4</t>
  </si>
  <si>
    <t>2.5</t>
  </si>
  <si>
    <t>3.1</t>
  </si>
  <si>
    <t>3.2</t>
  </si>
  <si>
    <t>4.1</t>
  </si>
  <si>
    <t>4.5</t>
  </si>
  <si>
    <t>3.3</t>
  </si>
  <si>
    <t>5.1</t>
  </si>
  <si>
    <t>4.2</t>
  </si>
  <si>
    <t>4.3</t>
  </si>
  <si>
    <t>4.4</t>
  </si>
  <si>
    <t>6.1</t>
  </si>
  <si>
    <t>Is it in particular forbidden in your company to apply child work (child work according to the terms of the national law)?</t>
  </si>
  <si>
    <t>Is Freedom of Association in accordance with national laws given in your company?</t>
  </si>
  <si>
    <t>Employees must be informed in writing about their rights and duties within the company and towards their employer. In particular working time, vacation and remuneration are agreed in writing.</t>
  </si>
  <si>
    <t>Has your company concluded working contracts with all your employees?</t>
  </si>
  <si>
    <t>Is the working time in your company in line with national law and the national standards of the concerned industrial sector?</t>
  </si>
  <si>
    <t>Do all employees of your company earn at least the minimum statutory income?</t>
  </si>
  <si>
    <t>Does your company grant paid vacation to all employees?</t>
  </si>
  <si>
    <t>Antitrust law aims at protecting a free market system based on supply and demand, which is one of the core principles of our society and our economy and which generates growth and creates jobs. Laws are there to prevent restrictions of competition and establish the same set of rules for all market players. Companies are responsible for ensuring compliance with these regulations. Failure to comply with these laws may result in criminal and administrative fines, imprisonment, and civil suits for damages against the company, its individual officers, directors and employees involved. The amount of damages and fines can threaten the continued existence for the company.</t>
  </si>
  <si>
    <t>Do programs or processes exist in your company in order to avoid breaches of Antitrust Law and to support fair competition?</t>
  </si>
  <si>
    <t>Corruption is largely banned worldwide. Corruption leads to economic decisions that are not made according to the free play of supply and demand, but by the abuse of personal power to the private benefit of the actors to the detriment of the companies concerned. The consequences are inter alia excessive and unstable prices, lower quality and consequential damages, low innovation and long-term decline in competitiveness within the industry.
Companies should have taken precautions to protect themselves and their employees against corruption in order to ensure a sustainable existence of the corporation.</t>
  </si>
  <si>
    <t>Do programs or processes exist in your company in order to prevent corruption, bribery and granting gifts disproportionally?</t>
  </si>
  <si>
    <t>Are all employees of your company pledged to keep secrets concerning the company and their work confidential and also pledged not to make such secrets public to any third party in any kind of way?</t>
  </si>
  <si>
    <t>Is all computer software used in your company (excluding self-made software) licensed?</t>
  </si>
  <si>
    <t>Do all your computers and data processing equipment come up to the latest national data protection laws and standards?</t>
  </si>
  <si>
    <t xml:space="preserve">Hours of Work (Industry) Convention, 1919 </t>
  </si>
  <si>
    <t>Weekly Rest (Industry) Convention, 1921</t>
  </si>
  <si>
    <t>Minimum Wage-Fixing Machinery Convention, 1928</t>
  </si>
  <si>
    <t>Forced Labour Convention, 1930</t>
  </si>
  <si>
    <t xml:space="preserve">Minimum Age (Industry) Convention (Revised), 1937 </t>
  </si>
  <si>
    <t>Night Work of Young Persons (Non-Industrial Occupations) Convention, 1946</t>
  </si>
  <si>
    <t>Freedom of Association and Protection of the Right to Organise Convention, 1948</t>
  </si>
  <si>
    <t>Right to Organise and Collective Bargaining Convention, 1949</t>
  </si>
  <si>
    <t>Equal Remuneration Convention, 1951</t>
  </si>
  <si>
    <t>Abolition of Forced Labour Convention, 1957</t>
  </si>
  <si>
    <t>Discrimination (Employment and Occupation) Convention, 1958</t>
  </si>
  <si>
    <t>Minimum Wage Fixing Convention, 1970</t>
  </si>
  <si>
    <t>Holidays with Pay Convention (Revised), 1970</t>
  </si>
  <si>
    <t>Workers' Representatives Convention, 1971</t>
  </si>
  <si>
    <t>Minimum Age Convention, 1973</t>
  </si>
  <si>
    <t>Human Resources Development Convention, 1975</t>
  </si>
  <si>
    <t xml:space="preserve">Migrant Workers (Supplementary Provisions) Convention, 1975 
</t>
  </si>
  <si>
    <t>Collective Bargaining Convention, 1981</t>
  </si>
  <si>
    <t>Occupational Safety and Health Convention, 1981</t>
  </si>
  <si>
    <t>Termination of Employment Convention, 1982</t>
  </si>
  <si>
    <t xml:space="preserve">Vocational Rehabilitation and Employment (Disabled Persons) Convention, 1983 
</t>
  </si>
  <si>
    <t>Worst Forms of Child Labour Convention, 1999</t>
  </si>
  <si>
    <t>Information on social responsibility and legal compliance</t>
  </si>
  <si>
    <t>Information on fair competition</t>
  </si>
  <si>
    <t>Information about the prevention of corruption</t>
  </si>
  <si>
    <t>Data Protection</t>
  </si>
  <si>
    <t>Information on supplier management</t>
  </si>
  <si>
    <t>Managing people</t>
  </si>
  <si>
    <t>Energy</t>
  </si>
  <si>
    <t>3.5</t>
  </si>
  <si>
    <t>3.4</t>
  </si>
  <si>
    <t>Safety</t>
  </si>
  <si>
    <t>Environment</t>
  </si>
  <si>
    <t>Does your company have environmental guidelines or an environmental policy? (if yes, please attach copy)</t>
  </si>
  <si>
    <t>Did the environmental performance of your company improve in the last year?</t>
  </si>
  <si>
    <t>Did your company implement a process to continously improve the health and safety performance? (Program/Goals)</t>
  </si>
  <si>
    <t>Did you implement a process to control and comply to relevant legal regulations, voluntary agreements with employees, health authorities, customers or own company-specific requirements? (e.g. regular audits)</t>
  </si>
  <si>
    <t>Do your associates get periodic environmental trainings?</t>
  </si>
  <si>
    <t>Did the health and safety performance of your company improve in the last year?</t>
  </si>
  <si>
    <t>Does your company have guidelines or an energy policy? (if yes, please attach copy)</t>
  </si>
  <si>
    <t>Does your company have health and safety guidelines or a health and safety policy? (if yes, please attach copy)</t>
  </si>
  <si>
    <t>Do your associates get periodic trainings related to energy/energy saving?</t>
  </si>
  <si>
    <t>Do your associates get periodic health and safety related trainings?</t>
  </si>
  <si>
    <t>ISO 17025 (only Laboratory)</t>
  </si>
  <si>
    <t>Website (URL):</t>
  </si>
  <si>
    <t xml:space="preserve">Automotive: </t>
  </si>
  <si>
    <t xml:space="preserve">Trucking: </t>
  </si>
  <si>
    <t>Product+Process approval acc. (AIAG) PPAP</t>
  </si>
  <si>
    <t>Product+Process approval acc. (VDA) PPF</t>
  </si>
  <si>
    <t>Section C</t>
  </si>
  <si>
    <t>*Certificate</t>
  </si>
  <si>
    <t>Social Responsibility</t>
  </si>
  <si>
    <t>Please select!</t>
  </si>
  <si>
    <t>Translation</t>
  </si>
  <si>
    <t>Ja</t>
  </si>
  <si>
    <t>Nein</t>
  </si>
  <si>
    <t>Incoterms</t>
  </si>
  <si>
    <t>Vendor Class</t>
  </si>
  <si>
    <t>VC1</t>
  </si>
  <si>
    <t>VC2</t>
  </si>
  <si>
    <t>VC3</t>
  </si>
  <si>
    <t>VC4</t>
  </si>
  <si>
    <t>Lieferantenselbstauskunft</t>
  </si>
  <si>
    <t>FCA - Free Carrier</t>
  </si>
  <si>
    <t>DAP - Delivered At Place</t>
  </si>
  <si>
    <t>DDP - Delivered, Duty paid</t>
  </si>
  <si>
    <t>Industries Served</t>
  </si>
  <si>
    <t>Major Customers</t>
  </si>
  <si>
    <t>Key/Core Competencies</t>
  </si>
  <si>
    <t>Short Description</t>
  </si>
  <si>
    <t>EDI</t>
  </si>
  <si>
    <t>Contact Person EDI:</t>
  </si>
  <si>
    <t>Firmenprofil</t>
  </si>
  <si>
    <t>DUNS-Nummer:</t>
  </si>
  <si>
    <t>Land:</t>
  </si>
  <si>
    <t>Abteilung:</t>
  </si>
  <si>
    <t>Email Adresse:</t>
  </si>
  <si>
    <t>Internetseite (URL):</t>
  </si>
  <si>
    <t>PLZ, Stadt, Bundesland:</t>
  </si>
  <si>
    <t>Adresse der Betriebsstätte:</t>
  </si>
  <si>
    <t>(including legal form):</t>
  </si>
  <si>
    <t>Company name</t>
  </si>
  <si>
    <t>Contacts</t>
  </si>
  <si>
    <t>Telephone-No.:</t>
  </si>
  <si>
    <t>Fax-No.:</t>
  </si>
  <si>
    <t>Telefon-Nr.:</t>
  </si>
  <si>
    <t>Fax-Nr.:</t>
  </si>
  <si>
    <t>Kontakte</t>
  </si>
  <si>
    <t>Comments</t>
  </si>
  <si>
    <t xml:space="preserve">Minority Certification </t>
  </si>
  <si>
    <t>Available</t>
  </si>
  <si>
    <t>Bitte wählen!</t>
  </si>
  <si>
    <t>Bank Account(s)* – Wire Transfer Mandatory</t>
  </si>
  <si>
    <t>Minority certified</t>
  </si>
  <si>
    <t>Payment term</t>
  </si>
  <si>
    <t>Incoterm</t>
  </si>
  <si>
    <t>ISO 14001</t>
  </si>
  <si>
    <t>ISO 50001</t>
  </si>
  <si>
    <t>IATF 16949</t>
  </si>
  <si>
    <t>ISO 9001</t>
  </si>
  <si>
    <t xml:space="preserve">Customer Approvals / Audits of Facility </t>
  </si>
  <si>
    <t>Application of Quality Management – Methods</t>
  </si>
  <si>
    <t>Usage</t>
  </si>
  <si>
    <t>Verwendung</t>
  </si>
  <si>
    <t>Applicable from (Date)</t>
  </si>
  <si>
    <t>If No, planned date</t>
  </si>
  <si>
    <t>Expiration date</t>
  </si>
  <si>
    <t>Certification Organization</t>
  </si>
  <si>
    <t>Advanced Product Quality Planning (AIAG) APQP / (VDA) RGA</t>
  </si>
  <si>
    <t>Failure Mode and Effects Analysis (FMEA) • Design • Process</t>
  </si>
  <si>
    <t>Regularly</t>
  </si>
  <si>
    <t>Partially</t>
  </si>
  <si>
    <t>Currently not</t>
  </si>
  <si>
    <t>Environmental Management System (e.g. ISO 14001, EMAS III)</t>
  </si>
  <si>
    <t>Energy Management System (e.g. ISO 50001)</t>
  </si>
  <si>
    <t>Did the energy related performance of your company improve in the last year in processes that are relevant for the products to be supplied to BENTELER?</t>
  </si>
  <si>
    <t>Firmenname</t>
  </si>
  <si>
    <t>(inkl. Rechtsform):</t>
  </si>
  <si>
    <t>Position:</t>
  </si>
  <si>
    <t>Sales Manager</t>
  </si>
  <si>
    <t>Quality Manager</t>
  </si>
  <si>
    <t>Logistics Manager</t>
  </si>
  <si>
    <t>Environmental Manager</t>
  </si>
  <si>
    <t>Sustainability - responsible</t>
  </si>
  <si>
    <t>Safety - responsible</t>
  </si>
  <si>
    <t>Information on external social responsibility rating</t>
  </si>
  <si>
    <t>Do you train your employees to raise the understanding of CSR/Sustainability?</t>
  </si>
  <si>
    <t>3.6</t>
  </si>
  <si>
    <t xml:space="preserve">Are your employees informed about the potential hazards and risks of their work and instructed about the corresponding safety measures?  </t>
  </si>
  <si>
    <t>6.2</t>
  </si>
  <si>
    <t>Does your company also require your suppliers to maintain corporate social responsibility standards within the entire supply chain? If yes, please provide evidence.</t>
  </si>
  <si>
    <t>Information on export control</t>
  </si>
  <si>
    <t>8.1</t>
  </si>
  <si>
    <t xml:space="preserve">Any violation of export regulations may lead to significant consequences for the BENTELER Group and its responsible executives and employees. Each company in the BENTELER supply chain must comply with international and national trade laws. Your responsible employees must recognize, understand and comply with all applicable laws, regulations and directives to control international trade and financial transactions. 
</t>
  </si>
  <si>
    <t>8.2</t>
  </si>
  <si>
    <t>Do you have a qualified person within your organization in charge of export control matters? If yes, please provide name and e-mail address. Please inform us about any changes.</t>
  </si>
  <si>
    <t>Information on breaches and infrangements</t>
  </si>
  <si>
    <t>Can you confirm that your company has not been convicted to pay fine or penalty during the last 24  months because of violations of the ban of child labor, the ban of forced labor, hindering freedom of association and Antitrust law provisions and that your company is not subject to any preliminary proceedings at the moment?</t>
  </si>
  <si>
    <t>Third-Party Sustainability Rating is attached.</t>
  </si>
  <si>
    <t>All companies of the Benteler Group (hereafter called “BENTELER”) expect from their suppliers to comply with at least those ethical standards to which all companies of the BENTELER Group have themselves committed to. If you do not have the latest version of BENTELER’s code of conduct, you can download it yourself from the homepage of the BENTELER Group (www.benteler.com)
You must confirm in writing compliance with ethical standards in line with BENTELER’s code of conduct. This is a pre-requisite for supplier selection; but does not mean that your company will be selected automatically in this way. This is one of several conditions which are checked by BENTELER during the supplier nomination process. 
If you have not yet submitted the confirmation, please contact your buyer at BENTELER and ask for the current template.</t>
  </si>
  <si>
    <t>References: ILO Conventions 87, 98, 135, 154 – Freedom of association</t>
  </si>
  <si>
    <t>References: www.wassenaar.org; www.nuclearsuppliergroup.org; www.australiagroup.net; www.mtcr.info</t>
  </si>
  <si>
    <t>The use of unlicensed software is prohibited. The intellectual owner of the software can prohibit the use of products made directly or indirectly by the use his or her software.</t>
  </si>
  <si>
    <t>Reference: ILO Convention 132 – Paid vacation</t>
  </si>
  <si>
    <t>References: ILO Conventions 26, 131 – Minimum Income</t>
  </si>
  <si>
    <t>References: ILO Conventions 1, 14 – Working and resting time</t>
  </si>
  <si>
    <t>Reference: ILO Convention 155 – Workplace health and safety</t>
  </si>
  <si>
    <t>List of ILO conventions:</t>
  </si>
  <si>
    <t>Continue with No. 2</t>
  </si>
  <si>
    <t>References: ILO Conventions 59, 79, 138, 142, 182 – Prohibition of child work</t>
  </si>
  <si>
    <t>BENTELER expects that all exchanged data are kept confidential unless the data have already been published elsewhere at the time of exchange; even if the parties (BENTELER and supplier / service provider) have not concluded a general or project specific confidentiality agreement, yet. That can only be guaranteed if all your employees who have access to these data observe their duty to keep business related data confidential and have been pledged in writing by the employer to general secrecy.</t>
  </si>
  <si>
    <t>Data processing systems must be protected against unauthorized access from the outside of the company as well as access by unauthorised persons within the organization. BENTELER expects that suppliers comply with the minimum local statutory requirements for securing electronic data.</t>
  </si>
  <si>
    <t>It shall be ensured that all companies within BENTELER's supply chain from the very beginning until the final client adhere to the applicable laws and observe ethical minimum standards such as outlined in BENTELER’s code of conduct for example. Each company within the supply chain shall contribute as best as possible to achieve this target.</t>
  </si>
  <si>
    <t>7.1</t>
  </si>
  <si>
    <t>9.1</t>
  </si>
  <si>
    <t>10.1</t>
  </si>
  <si>
    <t>Information on sourcing of raw materials</t>
  </si>
  <si>
    <t>(This question is not relevant for service providers.)</t>
  </si>
  <si>
    <t>Companies are expected to conduct due diligence to understand the source of the raw materials used in their products. Providing products that contain raw materials without knowing the origin could lead to contribute to human rights abuses, bribary and ethics violations, or negatively impact the environment.</t>
  </si>
  <si>
    <t>Reference: Responsible Minerals Initiative (www.responsiblemineralsinitiative.org)</t>
  </si>
  <si>
    <t>Name of Company owner / Major owner:</t>
  </si>
  <si>
    <t>Selection2</t>
  </si>
  <si>
    <t>Kommentare</t>
  </si>
  <si>
    <t>Rating</t>
  </si>
  <si>
    <t>Total number of points =</t>
  </si>
  <si>
    <t>of</t>
  </si>
  <si>
    <t>*Please indicate Currency</t>
  </si>
  <si>
    <t>% of sales</t>
  </si>
  <si>
    <t>No. 2 not necessary</t>
  </si>
  <si>
    <t>No. 3 not necessary</t>
  </si>
  <si>
    <t>No. 4 not necessary</t>
  </si>
  <si>
    <t>Nr. 2 nicht erforderlich</t>
  </si>
  <si>
    <t>Nr. 3 nicht erforderlich</t>
  </si>
  <si>
    <t>Nr. 4 nicht erforderlich</t>
  </si>
  <si>
    <t>Handelsregisternummer:</t>
  </si>
  <si>
    <t>E-mail address:</t>
  </si>
  <si>
    <t>Name des Firmeninhabers / Haupteigentümers:</t>
  </si>
  <si>
    <t>Jahr</t>
  </si>
  <si>
    <t>*Umsätze</t>
  </si>
  <si>
    <t>*Investitionen</t>
  </si>
  <si>
    <t>*Bitte geben Sie die Währung an</t>
  </si>
  <si>
    <t>Produktion</t>
  </si>
  <si>
    <t>Branchen, die beliefert werden</t>
  </si>
  <si>
    <t>%-Anteil von Umsätzen</t>
  </si>
  <si>
    <t>Kurzbeschreibung:</t>
  </si>
  <si>
    <t>Kontaktperson für EDI:</t>
  </si>
  <si>
    <t>Risikoabsicherung</t>
  </si>
  <si>
    <t>Vorhanden</t>
  </si>
  <si>
    <t>Wenn nicht, zu wann geplant?</t>
  </si>
  <si>
    <t>Deckungssumme</t>
  </si>
  <si>
    <t>Betriebshaftpflichtversicherung</t>
  </si>
  <si>
    <t>Typ</t>
  </si>
  <si>
    <t>Name der Bank &amp; Adresse</t>
  </si>
  <si>
    <t>IBAN</t>
  </si>
  <si>
    <t>Zahlungsbedingungen</t>
  </si>
  <si>
    <t>*Zertifikat</t>
  </si>
  <si>
    <t xml:space="preserve">Kundenfreigaben / Audits von Anlagen </t>
  </si>
  <si>
    <t>Kundenname</t>
  </si>
  <si>
    <t>Datum</t>
  </si>
  <si>
    <t>Ergebnis</t>
  </si>
  <si>
    <t>Anwendbar ab (Datum)</t>
  </si>
  <si>
    <t>Do you have a policy on responsible sourcing on raw materials? If yes, please enclose a copy.</t>
  </si>
  <si>
    <t>Haben Sie eine Richtlinie für eine verantwortungsvolle Beschaffung von Rohstoffen? Wenn ja, legen Sie bitte eine Kopie bei.</t>
  </si>
  <si>
    <t>Andere Methoden:</t>
  </si>
  <si>
    <t>Regelmäßig</t>
  </si>
  <si>
    <t>Teilweise</t>
  </si>
  <si>
    <t>Zur Zeit nicht</t>
  </si>
  <si>
    <t>Umwelt Management System (z.B. ISO 14001, EMAS III)</t>
  </si>
  <si>
    <t>Umwelt</t>
  </si>
  <si>
    <t>Hat Ihr Unternehmen einen Prozess zur kontinuierlichen Verbesserung der Umweltleistung implementiert? (Programm/Ziele)</t>
  </si>
  <si>
    <t>Erhalten Ihre Mitarbeiter regelmäßig Umweltschulungen?</t>
  </si>
  <si>
    <t>x</t>
  </si>
  <si>
    <t>(x)</t>
  </si>
  <si>
    <t>-</t>
  </si>
  <si>
    <t>On Site Assessment</t>
  </si>
  <si>
    <t>Passed</t>
  </si>
  <si>
    <t>Regional Supplier Quality Manager</t>
  </si>
  <si>
    <t>VP Global Supplier Quality</t>
  </si>
  <si>
    <t>Lead Commodity Manager (Global)</t>
  </si>
  <si>
    <t>Conditions:</t>
  </si>
  <si>
    <t>Minority Certification</t>
  </si>
  <si>
    <t>Kontonummer</t>
  </si>
  <si>
    <t>Bankkonto(-konten)* - Banküberweisung obligatorisch</t>
  </si>
  <si>
    <t>Methoden</t>
  </si>
  <si>
    <t>Prozess- und Herstellbarkeitsanalysen</t>
  </si>
  <si>
    <t>Produkt+Prozessfreigabe nach (AIAG) PPAP</t>
  </si>
  <si>
    <t>Produkt+Prozessfreigabe nach (VDA) PPF</t>
  </si>
  <si>
    <t>Qualitätsvorausplanung (AIAG) APQP / (VDA) RGA</t>
  </si>
  <si>
    <t>Fehlermöglichkeits- und -einflussanalyse (eng. FMEA)  • Design • Prozess</t>
  </si>
  <si>
    <t>Sicherheit</t>
  </si>
  <si>
    <t>Energie</t>
  </si>
  <si>
    <t>Soziale Verantwortung</t>
  </si>
  <si>
    <t>Hat sich die Umweltleistung Ihres Unternehmens im letzten Jahr verbessert?</t>
  </si>
  <si>
    <t>Hat Ihr Unternehmen einen Prozess zur kontinuierlichen Verbesserung der Gesundheits- und Sicherheitsperformance implementiert? (Programm/Ziele)</t>
  </si>
  <si>
    <t>Haben Sie einen Prozess zur Kontrolle und Einhaltung relevanter gesetzlicher Vorschriften, freiwilliger Vereinbarungen mit Mitarbeitern, Gesundheitsbehörden, Kunden oder eigener unternehmensspezifischer Anforderungen implementiert? (z.B. regelmäßige Audits)</t>
  </si>
  <si>
    <t>Erhalten Ihre Mitarbeiter regelmäßig Schulungen zum Thema Gesundheit und Sicherheit?</t>
  </si>
  <si>
    <t>Hat sich die Leistung Ihres Unternehmens im Bereich Gesundheit und Sicherheit im letzten Jahr verbessert?</t>
  </si>
  <si>
    <t>Hat Ihr Unternehmen einen Prozess zur kontinuierlichen Verbesserung der energiebezogenen Leistung implementiert? (Programm/Ziele)</t>
  </si>
  <si>
    <t>Erhalten Ihre Mitarbeiter regelmäßige Schulungen zum Thema Energie/Energieeinsparung?</t>
  </si>
  <si>
    <t>Hat sich die energiebezogene Leistung Ihres Unternehmens im letzten Jahr in Prozessen verbessert, die für die an BENTELER zu liefernden Produkte relevant sind?</t>
  </si>
  <si>
    <t>Informationen zur externen Bewertung der sozialen Verantwortung</t>
  </si>
  <si>
    <t>Das Nachhaltigkeitsrating eines Drittanbieters ist beigefügt.</t>
  </si>
  <si>
    <t>Informationen zur sozialen Verantwortung und Gesetzeskonformität</t>
  </si>
  <si>
    <t>Alle Unternehmen der Benteler-Gruppe (nachfolgend "BENTELER" genannt) erwarten von ihren Lieferanten, dass sie mindestens die ethischen Standards einhalten, zu denen sich alle Unternehmen der BENTELER-Gruppe verpflichtet haben. Wenn Sie nicht über die neueste Version des BENTELER-Verhaltenskodex verfügen, können Sie ihn selbst von der Homepage der BENTELER-Gruppe herunterladen (www.benteler.com).
Sie müssen die Einhaltung der ethischen Standards gemäß dem Verhaltenskodex von BENTELER schriftlich bestätigen. Dies ist eine Voraussetzung für die Lieferantenauswahl, bedeutet aber nicht, dass Ihr Unternehmen auf diese Weise automatisch ausgewählt wird. Dies ist eine von mehreren Bedingungen, die von BENTELER während des Nominierungsprozesses überprüft werden. 
Wenn Sie die Bestätigung noch nicht übermittelt haben, wenden Sie sich bitte an Ihren Einkäufer bei BENTELER und fragen Sie nach der aktuellen Vorlage.</t>
  </si>
  <si>
    <t>Schulen Sie Ihre Mitarbeiter, um das Verständnis für CSR/Nachhaltigkeit zu stärken?</t>
  </si>
  <si>
    <t>Ist es in Ihrem Unternehmen insbesondere verboten, Kinderarbeit anzuwenden (Kinderarbeit nach den Bestimmungen des nationalen Rechts)?</t>
  </si>
  <si>
    <t>Referenzen: ILO Konventionen 87, 98, 135, 154 - Vereinigungsfreiheit</t>
  </si>
  <si>
    <t>Entspricht die Vereinigungsfreiheit den nationalen Gesetzen, die in Ihrem Unternehmen gelten?</t>
  </si>
  <si>
    <t>Mitarbeiterführung</t>
  </si>
  <si>
    <t>Die Arbeitnehmer sind schriftlich über ihre Rechte und Pflichten innerhalb des Unternehmens und gegenüber ihrem Arbeitgeber zu informieren. Insbesondere Arbeitszeit, Urlaub und Vergütung werden schriftlich vereinbart.</t>
  </si>
  <si>
    <t>Hat Ihr Unternehmen mit allen Ihren Mitarbeitern Arbeitsverträge abgeschlossen?</t>
  </si>
  <si>
    <t>Referenzen: ILO Konventionen 1, 14 - Arbeitszeit und Ruhezeiten</t>
  </si>
  <si>
    <t>Entspricht die Arbeitszeit in Ihrem Unternehmen dem nationalen Recht und den nationalen Normen der jeweiligen Branche?</t>
  </si>
  <si>
    <t>Verdienen alle Mitarbeiter Ihres Unternehmens mindestens das gesetzliche Mindesteinkommen?</t>
  </si>
  <si>
    <t>Gewährt Ihr Unternehmen allen Mitarbeitern bezahlten Urlaub?</t>
  </si>
  <si>
    <t>Referenz: ILO Konvention 155 - Gesund- und Sicherheit am Arbeitsplatz</t>
  </si>
  <si>
    <t>Werden Ihre Mitarbeiter über die möglichen Gefahren und Risiken ihrer Arbeit und über die entsprechenden Sicherheitsmaßnahmen informiert?</t>
  </si>
  <si>
    <t>Informationen über fairen Wettbewerb</t>
  </si>
  <si>
    <t>Das Kartellrecht zielt auf den Schutz eines auf Angebot und Nachfrage basierenden freien Marktsystems ab, das eines der Grundprinzipien unserer Gesellschaft und unserer Wirtschaft ist und Wachstum und Arbeitsplätze schafft. Gesetze sollen Wettbewerbsbeschränkungen verhindern und ein einheitliches Regelwerk für alle Marktteilnehmer festlegen. Unternehmen sind für die Einhaltung dieser Vorschriften verantwortlich. Die Nichteinhaltung dieser Gesetze kann zu Straf- und Verwaltungsstrafen, Freiheitsstrafen und zivilrechtlichen Schadenersatzklagen gegen das Unternehmen, seine einzelnen leitenden Angestellten, Geschäftsführer und beteiligten Mitarbeiter führen. Die Höhe von Schadenersatz und Bußgeldern kann den Fortbestand des Unternehmens gefährden.</t>
  </si>
  <si>
    <t>Gibt es in Ihrem Unternehmen Programme oder Prozesse, um Verstöße gegen das Kartellrecht zu vermeiden und einen fairen Wettbewerb zu unterstützen?</t>
  </si>
  <si>
    <t>Informationen über die Prävention von Korruption</t>
  </si>
  <si>
    <t>Gibt es in Ihrem Unternehmen Programme oder Prozesse, um Korruption, Bestechung und unverhältnismäßige Geschenke zu verhindern?</t>
  </si>
  <si>
    <t>Datenschutz</t>
  </si>
  <si>
    <t>BENTELER erwartet, dass alle ausgetauschten Daten vertraulich behandelt werden, es sei denn, die Daten sind zum Zeitpunkt des Austausches bereits an anderer Stelle veröffentlicht worden; auch wenn die Parteien (BENTELER und Lieferant / Dienstleister) noch keine allgemeine oder projektspezifische Geheimhaltungsvereinbarung getroffen haben. Dies kann nur gewährleistet werden, wenn alle Ihre Mitarbeiter, die Zugang zu diesen Daten haben, ihre Pflicht zur Wahrung der Vertraulichkeit geschäftsbezogener Daten einhalten und vom Arbeitgeber schriftlich zur allgemeinen Geheimhaltung verpflichtet wurden.</t>
  </si>
  <si>
    <t>Sind alle Mitarbeiter Ihres Unternehmens verpflichtet, Betriebsgeheimnisse und deren Arbeit vertraulich zu behandeln und diese auch in keiner Weise Dritten zugänglich zu machen?</t>
  </si>
  <si>
    <t>Die Verwendung von nicht lizenzierter Software ist untersagt. Der geistige Eigentümer der Software kann die Verwendung von Produkten verbieten, die direkt oder indirekt durch die Verwendung seiner Software hergestellt wurden.</t>
  </si>
  <si>
    <t>Ist die gesamte in Ihrem Unternehmen verwendete Computersoftware (mit Ausnahme der selbst erstellten Software) lizenziert?</t>
  </si>
  <si>
    <t>Datenverarbeitungssysteme müssen vor unbefugtem Zugriff von außerhalb des Unternehmens sowie vor dem Zugriff unbefugter Personen innerhalb des Unternehmens geschützt werden. BENTELER erwartet, dass die Lieferanten die lokalen gesetzlichen Mindestanforderungen zur Sicherung elektronischer Daten erfüllen.</t>
  </si>
  <si>
    <t>Entsprechen alle Ihre Computer und Datenverarbeitungsanlagen den neuesten nationalen Datenschutzgesetzen und -standards?</t>
  </si>
  <si>
    <t>Informationen zu Lieferantenmanagement</t>
  </si>
  <si>
    <t>Es ist sicherzustellen, dass alle Unternehmen innerhalb der Lieferkette von BENTELER von Anfang an bis zum Endkunden die geltenden Gesetze einhalten und ethische Mindeststandards einhalten, wie sie beispielsweise im Verhaltenskodex von BENTELER festgelegt sind. Jedes Unternehmen innerhalb der Lieferkette soll so gut wie möglich zur Erreichung dieses Ziels beitragen.</t>
  </si>
  <si>
    <t>Verlangt Ihr Unternehmen auch von Ihren Zulieferern, dass sie die Standards der Corporate Social Responsibility innerhalb der gesamten Lieferkette einhalten? Wenn ja, legen Sie bitte Nachweise vor.</t>
  </si>
  <si>
    <t xml:space="preserve">Ein Verstoß gegen die Exportbestimmungen kann erhebliche Folgen für die BENTELER-Gruppe und ihre verantwortlichen Führungskräfte und Mitarbeiter haben. Jedes Unternehmen in der BENTELER Lieferkette muss die internationalen und nationalen Handelsgesetze einhalten. Ihre verantwortlichen Mitarbeiter müssen alle geltenden Gesetze, Vorschriften und Richtlinien zur Kontrolle internationaler Handels- und Finanztransaktionen anerkennen, verstehen und einhalten. </t>
  </si>
  <si>
    <t>Referenzen: www.wassenaar.org; www. Nuclearsuppliergroup.org; www.australiagroup.net; www.mtcr.info</t>
  </si>
  <si>
    <t>Verfügen Sie über ein Ausfuhrkontrollsystem, das zumindest Handelsbeschränkungen abdeckt (z.B. Embargos, Dual-Use-Güter, Waren auf Handelskontrolllisten usw.)?</t>
  </si>
  <si>
    <t>Haben Sie in Ihrem Unternehmen eine qualifizierte Person, die für Fragen der Exportkontrolle zuständig ist? Wenn ja, geben Sie bitte Namen und E-Mail-Adresse an. Bitte informieren Sie uns über Änderungen.</t>
  </si>
  <si>
    <t>Informationen über Rechtsverletzungen</t>
  </si>
  <si>
    <t>Können Sie bestätigen, dass Ihr Unternehmen in den letzten 24 Monaten wegen Verstößen gegen das Verbot von Kinderarbeit, das Verbot von Zwangsarbeit, die Behinderung der Vereinigungsfreiheit und kartellrechtliche Bestimmungen nicht zur Zahlung von Bußgeldern verurteilt wurde und dass Ihr Unternehmen derzeit keinem Ermittlungsverfahren unterliegt?</t>
  </si>
  <si>
    <t>Informationen zur Beschaffung von Rohstoffen</t>
  </si>
  <si>
    <t>(Diese Frage ist für Dienstleister nicht relevant.)</t>
  </si>
  <si>
    <t>Von den Unternehmen wird erwartet, dass sie Ihrer Sorgfaltspflicht nachkommen, um die Herkunft, der in ihren Produkten verwendeten Rohstoffe, zu verstehen. Die Bereitstellung von Produkten, die Rohstoffe enthalten, ohne dessen Herkunft zu kennen, könnte zu Menschenrechtsverletzungen, Bestechungs- und Ethikverletzungen oder negativen Auswirkungen auf die Umwelt führen.</t>
  </si>
  <si>
    <t>Referenz: Responsible Minerals Initiative (www.responsiblemineralsinitiative.org)</t>
  </si>
  <si>
    <t>Automotive:</t>
  </si>
  <si>
    <t>Finanzen</t>
  </si>
  <si>
    <t>Bankleitzahl</t>
  </si>
  <si>
    <t>Sicherheitsbeauftragter</t>
  </si>
  <si>
    <t>Nachhaltigkeitsbeauftragter</t>
  </si>
  <si>
    <t>Hauptkundengruppe</t>
  </si>
  <si>
    <t>ISO 17025 (nur für Labore)</t>
  </si>
  <si>
    <t>Zertifizierungsstelle</t>
  </si>
  <si>
    <t>Detaillierte Problemlösungsmethoden und Tools (5x Why, Ishikawa Diagramm, etc.)</t>
  </si>
  <si>
    <t>Hat Ihr Unternehmen eine Umweltrichtlinie oer eine Umweltpolitik? (wenn ja, bitte Kopie beifügen)</t>
  </si>
  <si>
    <t>Hat Ihr Unternehmen Gesundheits- und Sicherheitsrichtlinien oder eine Gesundheits- und Sicherheitspolitik? (wenn ja, bitte Kopie beifügen)</t>
  </si>
  <si>
    <t>Hat Ihr Unternehmen eine Energierichtlinie oder -politik? (wenn ja, bitte Kopie beifügen)</t>
  </si>
  <si>
    <t>Did you implement a process to control and comply to relevant legal regulations, voluntary agreements with customers etc. ? (e.g. on-site inspections, regular audits)</t>
  </si>
  <si>
    <r>
      <t>Haben Sie einen Prozess zur Kontrolle und Einhaltung der relevanten gesetzlichen Vorschriften, freiwilligen Vereinbarungen mit Kunden etc. implementiert? (z.B. Vor-Ort-Prüfungen</t>
    </r>
    <r>
      <rPr>
        <sz val="10"/>
        <rFont val="Arial"/>
        <family val="2"/>
      </rPr>
      <t>, Audits)</t>
    </r>
  </si>
  <si>
    <t>Referenzen: ILO Konventionen 26, 131 - Mindesteinkommen</t>
  </si>
  <si>
    <t>Korruption ist weltweit weitgehend verboten. Korruption führt zu wirtschaftlichen Entscheidungen, die nicht nach dem freien Spiel von Angebot und Nachfrage, sondern durch den Missbrauch der persönlichen Macht zum privaten Nutzen der Akteure, zum Nachteil der betroffenen Unternehmen getroffen werden. Die Folgen sind unter anderem überhöhte und instabile Preise, geringere Qualität und Folgeschäden, geringe Innovationsfähigkeit und langfristig Rückgang der Wettbewerbsfähigkeit innerhalb der Branche.
Unternehmen sollten Vorkehrungen getroffen haben, um sich und ihre Mitarbeiter vor Korruption zu schützen, um eine nachhaltige Existenz des Unternehmens zu gewährleisten.</t>
  </si>
  <si>
    <t>Informationen zu Exportkontrolle</t>
  </si>
  <si>
    <t>a)</t>
  </si>
  <si>
    <t>b)</t>
  </si>
  <si>
    <t>Please fill in all grey cells.</t>
  </si>
  <si>
    <r>
      <t>1. How to use section</t>
    </r>
    <r>
      <rPr>
        <b/>
        <sz val="12"/>
        <color rgb="FF0000FF"/>
        <rFont val="Arial"/>
        <family val="2"/>
      </rPr>
      <t xml:space="preserve"> </t>
    </r>
    <r>
      <rPr>
        <b/>
        <sz val="12"/>
        <color theme="1"/>
        <rFont val="Arial"/>
        <family val="2"/>
      </rPr>
      <t>A Company Profile</t>
    </r>
  </si>
  <si>
    <r>
      <t xml:space="preserve">2. How to use section </t>
    </r>
    <r>
      <rPr>
        <b/>
        <sz val="12"/>
        <color theme="1"/>
        <rFont val="Arial"/>
        <family val="2"/>
      </rPr>
      <t>B Financial &amp; C Quality</t>
    </r>
  </si>
  <si>
    <r>
      <t xml:space="preserve">3. How to use section </t>
    </r>
    <r>
      <rPr>
        <b/>
        <sz val="12"/>
        <rFont val="Arial"/>
        <family val="2"/>
      </rPr>
      <t>D Environmental Evaluation</t>
    </r>
  </si>
  <si>
    <r>
      <t>4. How to use section</t>
    </r>
    <r>
      <rPr>
        <b/>
        <sz val="12"/>
        <rFont val="Arial"/>
        <family val="2"/>
      </rPr>
      <t xml:space="preserve"> E Social Responsibility</t>
    </r>
  </si>
  <si>
    <t>Referenzen: ILO Konventionen 59, 79, 138, 142, 182 - Verbot von Kinderarbeit</t>
  </si>
  <si>
    <t>Please select in Part 1 whether your company holds the listed 
facility certificates or not. Please add a copy of the certificates. If your company does not hold the listed certificates, please complete the relevant questions.</t>
  </si>
  <si>
    <t>Please select in Section C Quality whether your company holds the listed certificates and add the required information in the grey cells.</t>
  </si>
  <si>
    <t>Legend:</t>
  </si>
  <si>
    <t>Regarding question number 2 to 10, if you select answer "partially" or "no", please add a comment for explanation.</t>
  </si>
  <si>
    <t>Regarding question number 1, please select in the drop-down menu 
whether you already completed an external sustainability rating questionnaire. If your answer is yes, please attach a copy. Then you are done with this section. If your answer is no, please go on with question number 2 and fill in the complete questionnaire of this section.</t>
  </si>
  <si>
    <t>1. Setting the Language</t>
  </si>
  <si>
    <t>Explanation</t>
  </si>
  <si>
    <t>Erklärung</t>
  </si>
  <si>
    <t>Legende:</t>
  </si>
  <si>
    <t>1. Einstellung der Sprache</t>
  </si>
  <si>
    <t>Bitte füllen Sie alle ausgegrauten Felder.</t>
  </si>
  <si>
    <t>Bitte wählen Sie in Section C Quality, ob Ihr Unternehmen die aufgelisteten Zertifikate besitzt und füllen bitte die ausgegrauten Felder.</t>
  </si>
  <si>
    <t>Bezüglich der Fragen 2 bis 10: Wenn Ihre Antwort "teilweise" oder "nein" ist, fügen Sie bitte einen Kommentar zur Erklärung hinzu.</t>
  </si>
  <si>
    <t>Bezüglich der Frage Nummer 1, bitte wählen Sie im Drop-Down Menü ob Ihr Unternehmen bereits einen externen Fragebogen bezüglich Nachhaltigkeit ausgefüllt hat. Wenn Ihre Antwort "ja" ist, fügen Sie bitte eine Kopie bei. Dann sind Sie mit diesem Abschitt fertig. Wenn Ihre Antwort "nein" ist, fahren Sie bitte mit Frage Nummer 2 fort und füllen den restlichen Fragebogen dieses Abschnitts aus.</t>
  </si>
  <si>
    <t>Version</t>
  </si>
  <si>
    <t>Changes</t>
  </si>
  <si>
    <t>Modified by</t>
  </si>
  <si>
    <t>Markus Timreck, Anna Krassin, 
Thorsten Schneider, Christian Zirnsak and Karina Wert</t>
  </si>
  <si>
    <t xml:space="preserve">Fields to be filled by BENTELER
</t>
  </si>
  <si>
    <t xml:space="preserve">Fields to be filled by supplier
</t>
  </si>
  <si>
    <t xml:space="preserve">Felder die von BENTELER auszufüllen sind
</t>
  </si>
  <si>
    <t xml:space="preserve">Felder die vom Lieferanten auszufüllen sind
</t>
  </si>
  <si>
    <t>Nutzfahrzeuge:</t>
  </si>
  <si>
    <t>Energie Management System (z.B. ISO 50001)</t>
  </si>
  <si>
    <t>Section D</t>
  </si>
  <si>
    <t>Section E</t>
  </si>
  <si>
    <t>Supplier Approval Form</t>
  </si>
  <si>
    <t>Lieferantenfreigabeformular</t>
  </si>
  <si>
    <t>Supplier Information:</t>
  </si>
  <si>
    <t>Lieferanteninformation:</t>
  </si>
  <si>
    <t>Information Required</t>
  </si>
  <si>
    <t>Erforderliche Informationen</t>
  </si>
  <si>
    <t>VC Requirements</t>
  </si>
  <si>
    <t>% Social Res.:</t>
  </si>
  <si>
    <t>VDA 6.1</t>
  </si>
  <si>
    <t>TechKlasse</t>
  </si>
  <si>
    <t>TCAB0000</t>
  </si>
  <si>
    <t>Ball Joints / Stabi Links</t>
  </si>
  <si>
    <t>TCACF000</t>
  </si>
  <si>
    <t>Casting (Ferrous)</t>
  </si>
  <si>
    <t>TCACI000</t>
  </si>
  <si>
    <t>Investment Casting</t>
  </si>
  <si>
    <t>TCACN000</t>
  </si>
  <si>
    <t>Castings (Non-Ferrous)</t>
  </si>
  <si>
    <t>TCAFF000</t>
  </si>
  <si>
    <t>Forgings, Ferrous</t>
  </si>
  <si>
    <t>TCAFN000</t>
  </si>
  <si>
    <t>Forgings, Aluminum</t>
  </si>
  <si>
    <t>TCAMA000</t>
  </si>
  <si>
    <t>Shock Absorbers</t>
  </si>
  <si>
    <t>TCAMAT000</t>
  </si>
  <si>
    <t>Transmission</t>
  </si>
  <si>
    <t>TCAMB000</t>
  </si>
  <si>
    <t>Brakes &amp; Accessories</t>
  </si>
  <si>
    <t>TCAMB001</t>
  </si>
  <si>
    <t>Brake Pipe / Brake Hose</t>
  </si>
  <si>
    <t>TCAMC000</t>
  </si>
  <si>
    <t>Steering Systems</t>
  </si>
  <si>
    <t>TCAMD000</t>
  </si>
  <si>
    <t>Drive Shafts</t>
  </si>
  <si>
    <t>TCAMF000</t>
  </si>
  <si>
    <t>ZSB Modul Components</t>
  </si>
  <si>
    <t>TCAMS000</t>
  </si>
  <si>
    <t>Springs &amp; Stabilizers</t>
  </si>
  <si>
    <t>TCAMW000</t>
  </si>
  <si>
    <t>Bearings</t>
  </si>
  <si>
    <t>TCAP0000</t>
  </si>
  <si>
    <t>Plastics, Rubber</t>
  </si>
  <si>
    <t>TCAR0000</t>
  </si>
  <si>
    <t>Rubber-Metal</t>
  </si>
  <si>
    <t>TCCCM000</t>
  </si>
  <si>
    <t>Machinery &amp; Equipment</t>
  </si>
  <si>
    <t>TCCCT000</t>
  </si>
  <si>
    <t>Measuring &amp; Test Equipment</t>
  </si>
  <si>
    <t>TCEE0000</t>
  </si>
  <si>
    <t>Electrical Systems</t>
  </si>
  <si>
    <t>TCEEC000</t>
  </si>
  <si>
    <t>Electronic Control Units</t>
  </si>
  <si>
    <t>TCEEM000</t>
  </si>
  <si>
    <t>Electric Motors</t>
  </si>
  <si>
    <t>TCEWA000</t>
  </si>
  <si>
    <t>Cutting</t>
  </si>
  <si>
    <t>TCEWG001</t>
  </si>
  <si>
    <t>TCEWH000</t>
  </si>
  <si>
    <t>Heat Treatment</t>
  </si>
  <si>
    <t>TCEWM000</t>
  </si>
  <si>
    <t>TCEWS000</t>
  </si>
  <si>
    <t>Surface Treatment Service</t>
  </si>
  <si>
    <t>TCEWSV02</t>
  </si>
  <si>
    <t>Surface Treatment, De-Painting</t>
  </si>
  <si>
    <t>TCEXA000</t>
  </si>
  <si>
    <t>EGR Valves</t>
  </si>
  <si>
    <t>TCEXC000</t>
  </si>
  <si>
    <t>Catalytic Converters</t>
  </si>
  <si>
    <t>TCEXD000</t>
  </si>
  <si>
    <t>Dampers</t>
  </si>
  <si>
    <t>TCEXF000</t>
  </si>
  <si>
    <t>Fittings</t>
  </si>
  <si>
    <t>TCEXS000</t>
  </si>
  <si>
    <t>EES Special Parts</t>
  </si>
  <si>
    <t>TCEXW000</t>
  </si>
  <si>
    <t>Gaskets</t>
  </si>
  <si>
    <t>TCEXX000</t>
  </si>
  <si>
    <t>Mats / Isolation</t>
  </si>
  <si>
    <t>TCIAC000</t>
  </si>
  <si>
    <t>Lubricants</t>
  </si>
  <si>
    <t>TCIAS000</t>
  </si>
  <si>
    <t>Surface Treatment Material</t>
  </si>
  <si>
    <t>TCIAW000</t>
  </si>
  <si>
    <t>Welding/Soldering Consumables</t>
  </si>
  <si>
    <t>TCILO004</t>
  </si>
  <si>
    <t>TCILP000</t>
  </si>
  <si>
    <t>Packaging Units</t>
  </si>
  <si>
    <t>TCILT000</t>
  </si>
  <si>
    <t>Transport</t>
  </si>
  <si>
    <t>TCISH000</t>
  </si>
  <si>
    <t>HR Services</t>
  </si>
  <si>
    <t>TCMDI000</t>
  </si>
  <si>
    <t>Stamping Dies,Inhouse Tooling (Benteler)</t>
  </si>
  <si>
    <t>TCMFF000</t>
  </si>
  <si>
    <t>Connecting Elements</t>
  </si>
  <si>
    <t>TCMFS000</t>
  </si>
  <si>
    <t>Sintered parts</t>
  </si>
  <si>
    <t>TCMP0000</t>
  </si>
  <si>
    <t>Press Parts</t>
  </si>
  <si>
    <t>TCMP0002</t>
  </si>
  <si>
    <t>Press Parts, Assy</t>
  </si>
  <si>
    <t>TCMP0003</t>
  </si>
  <si>
    <t>Press Parts, Fine Blank</t>
  </si>
  <si>
    <t>TCMP0004</t>
  </si>
  <si>
    <t>Press Parts, Deep Drawn</t>
  </si>
  <si>
    <t>TCMP0005</t>
  </si>
  <si>
    <t>Rolled Tubular Parts</t>
  </si>
  <si>
    <t>TCMT0000</t>
  </si>
  <si>
    <t>Tubes / Profiles</t>
  </si>
  <si>
    <t>TCMTT000</t>
  </si>
  <si>
    <t>Blooms</t>
  </si>
  <si>
    <t>TCRA0000</t>
  </si>
  <si>
    <t>Aluminium</t>
  </si>
  <si>
    <t>TCRB0000</t>
  </si>
  <si>
    <t>Tailor Blanks</t>
  </si>
  <si>
    <t>TCRGW000</t>
  </si>
  <si>
    <t>Car Windows</t>
  </si>
  <si>
    <t>TCRM0000</t>
  </si>
  <si>
    <t>Magnesium</t>
  </si>
  <si>
    <t>TCRSF000</t>
  </si>
  <si>
    <t>Steel</t>
  </si>
  <si>
    <t>TCRSLC00</t>
  </si>
  <si>
    <t>Billets / Slabs</t>
  </si>
  <si>
    <t>TCSAC000</t>
  </si>
  <si>
    <t>Coal</t>
  </si>
  <si>
    <t>TCSAX000</t>
  </si>
  <si>
    <t>Lime</t>
  </si>
  <si>
    <t>TCSC0000</t>
  </si>
  <si>
    <t>Primary Material</t>
  </si>
  <si>
    <t>TCSG0000</t>
  </si>
  <si>
    <t>Technical Gases</t>
  </si>
  <si>
    <t>TCSSA000</t>
  </si>
  <si>
    <t>Scrap Puchasing</t>
  </si>
  <si>
    <t>TCT00000</t>
  </si>
  <si>
    <t>Tooling</t>
  </si>
  <si>
    <t>Kugelgelenke, Stabianlenkungen</t>
  </si>
  <si>
    <t>Gummi-Metall</t>
  </si>
  <si>
    <t>Elektrische Systeme</t>
  </si>
  <si>
    <t>Technische Gase</t>
  </si>
  <si>
    <t>Werkzeuge</t>
  </si>
  <si>
    <t>Verbindungselemente</t>
  </si>
  <si>
    <t>Pressteile</t>
  </si>
  <si>
    <t>Rohre / Profile</t>
  </si>
  <si>
    <t>Platinen Tailor</t>
  </si>
  <si>
    <t>Stahl</t>
  </si>
  <si>
    <t>Gussteile (Ferrous)</t>
  </si>
  <si>
    <t>Gussteile (Non-Ferrous)</t>
  </si>
  <si>
    <t>Feinguss</t>
  </si>
  <si>
    <t>Schmiedeteile, Ferrous</t>
  </si>
  <si>
    <t>Stoßdämpfer</t>
  </si>
  <si>
    <t>Bremskomponenten</t>
  </si>
  <si>
    <t>Lenksysteme</t>
  </si>
  <si>
    <t>Abtriebswellen</t>
  </si>
  <si>
    <t>ZSB Modulkomponenten</t>
  </si>
  <si>
    <t>Federn / Stabilisatoren</t>
  </si>
  <si>
    <t>Getriebe</t>
  </si>
  <si>
    <t>Radlager</t>
  </si>
  <si>
    <t>Steuergeräte</t>
  </si>
  <si>
    <t>Elektromotoren</t>
  </si>
  <si>
    <t>AGR Ventile</t>
  </si>
  <si>
    <t>Katalysatoren</t>
  </si>
  <si>
    <t>Kompensatoren</t>
  </si>
  <si>
    <t>Zubehör</t>
  </si>
  <si>
    <t>EES, Sonderteile</t>
  </si>
  <si>
    <t>Dichtungen</t>
  </si>
  <si>
    <t>Maschinen &amp; Anlagen</t>
  </si>
  <si>
    <t>Mess- und Prüfmittel</t>
  </si>
  <si>
    <t>Trennen</t>
  </si>
  <si>
    <t>Wärmebehandlung</t>
  </si>
  <si>
    <t>Mechanische Bearbeitung</t>
  </si>
  <si>
    <t>Schmiermittel</t>
  </si>
  <si>
    <t>Oberflächenbehandlung</t>
  </si>
  <si>
    <t>Schweiß- und Lötstoffe</t>
  </si>
  <si>
    <t>Verpackungen</t>
  </si>
  <si>
    <t>Transportdienstleistungen</t>
  </si>
  <si>
    <t>Personal-Dienstleistungen</t>
  </si>
  <si>
    <t>Presswerkzeuge, intern (Benteler)</t>
  </si>
  <si>
    <t>Sinterteile</t>
  </si>
  <si>
    <t>Luppen</t>
  </si>
  <si>
    <t>Autoglas</t>
  </si>
  <si>
    <t>Kohle</t>
  </si>
  <si>
    <t>Kalk</t>
  </si>
  <si>
    <t>Schrotteinkauf</t>
  </si>
  <si>
    <t>Bremsleitung / Bremsschlauch</t>
  </si>
  <si>
    <t>Oberflächenbearbeitung, Entlacken</t>
  </si>
  <si>
    <t>Matten / Isolierungen</t>
  </si>
  <si>
    <t>Pressteile, ZSB</t>
  </si>
  <si>
    <t>Feinschneidteile</t>
  </si>
  <si>
    <t>Tiefziehteile</t>
  </si>
  <si>
    <t>Gerollte Hülsen</t>
  </si>
  <si>
    <t>Knüppel / Brammen</t>
  </si>
  <si>
    <t>Primär Material</t>
  </si>
  <si>
    <t>Sideletter:</t>
  </si>
  <si>
    <t>Special approval:</t>
  </si>
  <si>
    <t>Requirement</t>
  </si>
  <si>
    <t>Anforderung</t>
  </si>
  <si>
    <t>Proof of Insurance</t>
  </si>
  <si>
    <t>Versicherungsprüfung</t>
  </si>
  <si>
    <t>BENTELER Supplier Quality Requirement</t>
  </si>
  <si>
    <t>BENTELER Lieferanten Qualitätsanforderung (BSQR)</t>
  </si>
  <si>
    <t xml:space="preserve">Supplier Logistic Manual </t>
  </si>
  <si>
    <t>Lieferanten Logistik Handbuch</t>
  </si>
  <si>
    <t>Bewertung</t>
  </si>
  <si>
    <t>green</t>
  </si>
  <si>
    <t>grün</t>
  </si>
  <si>
    <t>gelb</t>
  </si>
  <si>
    <t>yellow</t>
  </si>
  <si>
    <t>HZP No.:</t>
  </si>
  <si>
    <t>HZP Nr.:</t>
  </si>
  <si>
    <t>Sonderfreigabe:</t>
  </si>
  <si>
    <t>Supplier Assessment on site</t>
  </si>
  <si>
    <t>Lieferantenbewertung vor Ort</t>
  </si>
  <si>
    <t>rot</t>
  </si>
  <si>
    <t>red</t>
  </si>
  <si>
    <t>Vor Ort Bewertung</t>
  </si>
  <si>
    <t>Bestanden</t>
  </si>
  <si>
    <t>Make sure that all evidence documents, signatures and HZP No. for section C and D are available. 
!!! Approval is valid for specified Technology Class/es only !!!</t>
  </si>
  <si>
    <t>Contact Person</t>
  </si>
  <si>
    <t>Kontaktperson</t>
  </si>
  <si>
    <t>Name</t>
  </si>
  <si>
    <t>Buyer Code:</t>
  </si>
  <si>
    <t>Einkäufer Gruppe:</t>
  </si>
  <si>
    <t xml:space="preserve">Verbindlich*: </t>
  </si>
  <si>
    <t>Mandatory*:</t>
  </si>
  <si>
    <t>x¹</t>
  </si>
  <si>
    <t xml:space="preserve">VDA 6.3 Potentialanalyse P1 </t>
  </si>
  <si>
    <t>(Selbst-Audit)</t>
  </si>
  <si>
    <t xml:space="preserve">VDA 6.3 Potential Analysis P1 </t>
  </si>
  <si>
    <t>(self-audit)</t>
  </si>
  <si>
    <t>!!! For use by BENTELER only !!!</t>
  </si>
  <si>
    <t>!!! Nur zur BENTELER Verwendung !!!</t>
  </si>
  <si>
    <t>Approved</t>
  </si>
  <si>
    <t>Conditionally Approved</t>
  </si>
  <si>
    <t>Not Approved</t>
  </si>
  <si>
    <t>Freigegeben</t>
  </si>
  <si>
    <t>Bedingt freigegeben</t>
  </si>
  <si>
    <t>Nicht freigegeben</t>
  </si>
  <si>
    <t>Approval</t>
  </si>
  <si>
    <t>Bedingungen:</t>
  </si>
  <si>
    <t>Decision</t>
  </si>
  <si>
    <t>Entscheidung</t>
  </si>
  <si>
    <t>Approval status:</t>
  </si>
  <si>
    <t>Freigabestatus:</t>
  </si>
  <si>
    <t>BENTELER Lieferanten (Vendor) Nr.:</t>
  </si>
  <si>
    <t>BENTELER Supplier (Vendor) No.:</t>
  </si>
  <si>
    <t>Assigned SQE</t>
  </si>
  <si>
    <t>Zugeordneter SQE</t>
  </si>
  <si>
    <t>Decision by:</t>
  </si>
  <si>
    <t>Entscheidung durch:</t>
  </si>
  <si>
    <t>Function</t>
  </si>
  <si>
    <t>Funktion</t>
  </si>
  <si>
    <t>Signature / Date:</t>
  </si>
  <si>
    <t>Unterschrift / Datum:</t>
  </si>
  <si>
    <t>Social Responsibility Check passed</t>
  </si>
  <si>
    <t>Social Responsibility Check not passed</t>
  </si>
  <si>
    <t>Soziale Verantwortung Check bestanden</t>
  </si>
  <si>
    <t>Soziale Verantwortung Check nicht bestanden</t>
  </si>
  <si>
    <t>(TK gem.: BS.PU.002 Material, Technologiedefinition)</t>
  </si>
  <si>
    <t>(TC acc. to: BS.PU.002 Material, Technology Definition)</t>
  </si>
  <si>
    <t>Regional Procurement Director
(supplier production location)</t>
  </si>
  <si>
    <t>Regional Procurement Director
(Lieferantenproduktionsstandort)</t>
  </si>
  <si>
    <t>(VC1-2 alle 4 Funktionen verpflichtend / VC3 nur Funktionen 1 und 2 notwendig / VC4 nur Funktion 1 notwendig)</t>
  </si>
  <si>
    <t>(VC1-2 all 4 functions mandatory / VC3 only functions 1 and 2 necessary / VC4 only function 1 necessary)</t>
  </si>
  <si>
    <t>Anzahl der Mitarbeiter des Unternehmens in Bereichen (letzte 3 Jahre)</t>
  </si>
  <si>
    <t>Company employees in areas (Last 3 years)</t>
  </si>
  <si>
    <t>Currency</t>
  </si>
  <si>
    <t>Währung</t>
  </si>
  <si>
    <t>EUR</t>
  </si>
  <si>
    <t>Europäischer Euro</t>
  </si>
  <si>
    <t>European Euro</t>
  </si>
  <si>
    <t>USD</t>
  </si>
  <si>
    <t>US Amerikanische Dollar</t>
  </si>
  <si>
    <t>United States Dollar</t>
  </si>
  <si>
    <t>CNY</t>
  </si>
  <si>
    <t>Chinesischer Renminbi</t>
  </si>
  <si>
    <t>Chinese Renminbi</t>
  </si>
  <si>
    <t>ADP</t>
  </si>
  <si>
    <t>Andorianische Peseta</t>
  </si>
  <si>
    <t>Andoran peseta</t>
  </si>
  <si>
    <t>AED</t>
  </si>
  <si>
    <t>Vereinigte Arabische Emirate Dirham</t>
  </si>
  <si>
    <t>United Arab Emirates Dirham</t>
  </si>
  <si>
    <t>AFA</t>
  </si>
  <si>
    <t>Afghani</t>
  </si>
  <si>
    <t>ALL</t>
  </si>
  <si>
    <t>Albanische Lek</t>
  </si>
  <si>
    <t>Albanian Lek</t>
  </si>
  <si>
    <t>AMD</t>
  </si>
  <si>
    <t>Armenische Dram</t>
  </si>
  <si>
    <t>Armenian Dram</t>
  </si>
  <si>
    <t>ANG</t>
  </si>
  <si>
    <t>Antilianische Gulden</t>
  </si>
  <si>
    <t>West Indian Guilder</t>
  </si>
  <si>
    <t>AON</t>
  </si>
  <si>
    <t>Angolanische neue Kwanza</t>
  </si>
  <si>
    <t>Angolan New Kwanza</t>
  </si>
  <si>
    <t>AOR</t>
  </si>
  <si>
    <t>Angolanische Kwanza Reajustado</t>
  </si>
  <si>
    <t>Angolan Kwanza Reajustado</t>
  </si>
  <si>
    <t>ARS</t>
  </si>
  <si>
    <t>Argentinische Peso</t>
  </si>
  <si>
    <t>Argentine Peso</t>
  </si>
  <si>
    <t>ATS</t>
  </si>
  <si>
    <t>Österreichische Schilling</t>
  </si>
  <si>
    <t>Austrian Schilling</t>
  </si>
  <si>
    <t>AUD</t>
  </si>
  <si>
    <t>Australien Dollar</t>
  </si>
  <si>
    <t>Australian Dollar</t>
  </si>
  <si>
    <t>AWG</t>
  </si>
  <si>
    <t>Arubanische Gulden</t>
  </si>
  <si>
    <t>Aruban Guilder</t>
  </si>
  <si>
    <t>AZM</t>
  </si>
  <si>
    <t>Aserbaidschanische Manat</t>
  </si>
  <si>
    <t>Azerbaijan Manat</t>
  </si>
  <si>
    <t>BAM</t>
  </si>
  <si>
    <t>Bosnia and Herzegovina Convertible Mark</t>
  </si>
  <si>
    <t>BBD</t>
  </si>
  <si>
    <t>Barbados-Dollar</t>
  </si>
  <si>
    <t>Barbados Dollar</t>
  </si>
  <si>
    <t>BDT</t>
  </si>
  <si>
    <t>Bangladesch Taka</t>
  </si>
  <si>
    <t>Bangladesh Taka</t>
  </si>
  <si>
    <t>BEF</t>
  </si>
  <si>
    <t>Belgische Franken</t>
  </si>
  <si>
    <t>Belgian Franc</t>
  </si>
  <si>
    <t>BGN</t>
  </si>
  <si>
    <t>Bulgarische Lew</t>
  </si>
  <si>
    <t>Bulgarian Lev</t>
  </si>
  <si>
    <t>BHD</t>
  </si>
  <si>
    <t>Bahrein-Dinar</t>
  </si>
  <si>
    <t>Bahrain Dinar</t>
  </si>
  <si>
    <t>BIF</t>
  </si>
  <si>
    <t>Burundi Frank</t>
  </si>
  <si>
    <t>Burundi Franc</t>
  </si>
  <si>
    <t>BMD</t>
  </si>
  <si>
    <t>Bermuda Dollar</t>
  </si>
  <si>
    <t>Bermudan Dollar</t>
  </si>
  <si>
    <t>BND</t>
  </si>
  <si>
    <t>Brunei Dollar</t>
  </si>
  <si>
    <t>BOB</t>
  </si>
  <si>
    <t>Boliviano</t>
  </si>
  <si>
    <t>BRL</t>
  </si>
  <si>
    <t>Brasilianische Real</t>
  </si>
  <si>
    <t>Brazilian Real</t>
  </si>
  <si>
    <t>BSD</t>
  </si>
  <si>
    <t>Bahama Dollar</t>
  </si>
  <si>
    <t>Bahaman Dollar</t>
  </si>
  <si>
    <t>BTN</t>
  </si>
  <si>
    <t>Bhutan Ngultrum</t>
  </si>
  <si>
    <t>BWP</t>
  </si>
  <si>
    <t>Botswanische Pula</t>
  </si>
  <si>
    <t>Botswana Pula</t>
  </si>
  <si>
    <t>BYB</t>
  </si>
  <si>
    <t>Weissrussische Rubel</t>
  </si>
  <si>
    <t>Belorussian Ruble</t>
  </si>
  <si>
    <t>BZD</t>
  </si>
  <si>
    <t>Belize-Dollar</t>
  </si>
  <si>
    <t>Belize Dollar</t>
  </si>
  <si>
    <t>Kanadische Dollar</t>
  </si>
  <si>
    <t>Canadian Dollar</t>
  </si>
  <si>
    <t>CFP</t>
  </si>
  <si>
    <t>Französischer Franc (Pazifik Inseln)</t>
  </si>
  <si>
    <t>French Franc (Pacific Islands)</t>
  </si>
  <si>
    <t>CHF</t>
  </si>
  <si>
    <t>Schweizer Franken</t>
  </si>
  <si>
    <t>Swiss Franc</t>
  </si>
  <si>
    <t>CLP</t>
  </si>
  <si>
    <t>Chilenische Pesos</t>
  </si>
  <si>
    <t>Chilean Peso</t>
  </si>
  <si>
    <t>COP</t>
  </si>
  <si>
    <t>Kolumbianische Peso</t>
  </si>
  <si>
    <t>Colombian Peso</t>
  </si>
  <si>
    <t>CRC</t>
  </si>
  <si>
    <t>Costa-Rica-Colon</t>
  </si>
  <si>
    <t>Costa Rica Colon</t>
  </si>
  <si>
    <t>CUP</t>
  </si>
  <si>
    <t>Kubanische Peso</t>
  </si>
  <si>
    <t>Cuban Peso</t>
  </si>
  <si>
    <t>CVE</t>
  </si>
  <si>
    <t>Kap-Verde-Escudo</t>
  </si>
  <si>
    <t>Cape Verde Escudo</t>
  </si>
  <si>
    <t>CYP</t>
  </si>
  <si>
    <t>Zypern Pfund</t>
  </si>
  <si>
    <t>Cyprus Pound</t>
  </si>
  <si>
    <t>CZK</t>
  </si>
  <si>
    <t>Tschechische Krone</t>
  </si>
  <si>
    <t>Czech Krona</t>
  </si>
  <si>
    <t>DJF</t>
  </si>
  <si>
    <t>Dschibuti Frank</t>
  </si>
  <si>
    <t>Djibouti Franc</t>
  </si>
  <si>
    <t>DKK</t>
  </si>
  <si>
    <t>Dänische Kronen</t>
  </si>
  <si>
    <t>Danish Krone</t>
  </si>
  <si>
    <t>DOP</t>
  </si>
  <si>
    <t>Dominikanische Peso</t>
  </si>
  <si>
    <t>Dominican Peso</t>
  </si>
  <si>
    <t>DZD</t>
  </si>
  <si>
    <t>Algerische Dinar</t>
  </si>
  <si>
    <t>Algerian Dinar</t>
  </si>
  <si>
    <t>ECS</t>
  </si>
  <si>
    <t>Ecuadorianische Sucre</t>
  </si>
  <si>
    <t>Ecuadorian Sucre</t>
  </si>
  <si>
    <t>EEK</t>
  </si>
  <si>
    <t>Estnische Krone</t>
  </si>
  <si>
    <t>Estonian Krone</t>
  </si>
  <si>
    <t>EGP</t>
  </si>
  <si>
    <t>Ägyptisches Pfund</t>
  </si>
  <si>
    <t>Egyptian Pound</t>
  </si>
  <si>
    <t>ERN</t>
  </si>
  <si>
    <t>Eritreische Nakfa</t>
  </si>
  <si>
    <t>Eritrean Nafka</t>
  </si>
  <si>
    <t>ESP</t>
  </si>
  <si>
    <t>Spanische Peseten</t>
  </si>
  <si>
    <t>Spanish Peseta</t>
  </si>
  <si>
    <t>ETB</t>
  </si>
  <si>
    <t>Äthiopische Birr</t>
  </si>
  <si>
    <t>Ethiopian Birr</t>
  </si>
  <si>
    <t>FIM</t>
  </si>
  <si>
    <t>Finnische Mark</t>
  </si>
  <si>
    <t>Finnish markka</t>
  </si>
  <si>
    <t>FJD</t>
  </si>
  <si>
    <t>Fidschi-Dollar</t>
  </si>
  <si>
    <t>Fiji Dollar</t>
  </si>
  <si>
    <t>FKP</t>
  </si>
  <si>
    <t>Falkland Pfund</t>
  </si>
  <si>
    <t>Falkland Pound</t>
  </si>
  <si>
    <t>FRF</t>
  </si>
  <si>
    <t>Französische Franken</t>
  </si>
  <si>
    <t>French Franc</t>
  </si>
  <si>
    <t>GBP</t>
  </si>
  <si>
    <t>Britische Pfund</t>
  </si>
  <si>
    <t>British Pound</t>
  </si>
  <si>
    <t>GEL</t>
  </si>
  <si>
    <t>Georgisches Lari</t>
  </si>
  <si>
    <t>Georgian Lari</t>
  </si>
  <si>
    <t>GHC</t>
  </si>
  <si>
    <t>Ghanesische Cedi</t>
  </si>
  <si>
    <t>Ghanian Cedi</t>
  </si>
  <si>
    <t>GIP</t>
  </si>
  <si>
    <t>Gibralter Pfund</t>
  </si>
  <si>
    <t>Gibraltar Pound</t>
  </si>
  <si>
    <t>GMD</t>
  </si>
  <si>
    <t>Gambanesische Dalasi</t>
  </si>
  <si>
    <t>Gambian Dalasi</t>
  </si>
  <si>
    <t>GNF</t>
  </si>
  <si>
    <t>Guinea Franc</t>
  </si>
  <si>
    <t>Guinean Franc</t>
  </si>
  <si>
    <t>GRD</t>
  </si>
  <si>
    <t>Griechische Drachme</t>
  </si>
  <si>
    <t>Greek Drachma</t>
  </si>
  <si>
    <t>GTQ</t>
  </si>
  <si>
    <t>Guatemalische Quetzal</t>
  </si>
  <si>
    <t>Guatemalan Quetzal</t>
  </si>
  <si>
    <t>GWP</t>
  </si>
  <si>
    <t>Guinea-Peso</t>
  </si>
  <si>
    <t>Guinea Peso</t>
  </si>
  <si>
    <t>GYD</t>
  </si>
  <si>
    <t>Guyana-Dollar</t>
  </si>
  <si>
    <t>Guyana Dollar</t>
  </si>
  <si>
    <t>HKD</t>
  </si>
  <si>
    <t>Hong Kong Dollar</t>
  </si>
  <si>
    <t>HNL</t>
  </si>
  <si>
    <t>Honduranische Lempira</t>
  </si>
  <si>
    <t>Honduran Lempira</t>
  </si>
  <si>
    <t>HRK</t>
  </si>
  <si>
    <t>Kroatische Kuna</t>
  </si>
  <si>
    <t>Croatian kuna</t>
  </si>
  <si>
    <t>HTG</t>
  </si>
  <si>
    <t>Haitianische Gourde</t>
  </si>
  <si>
    <t>Haitian Gourde</t>
  </si>
  <si>
    <t>HUF</t>
  </si>
  <si>
    <t>Ungarischer Forint</t>
  </si>
  <si>
    <t>Hungarian Forint</t>
  </si>
  <si>
    <t>IDR</t>
  </si>
  <si>
    <t>Indonesische Rupiah</t>
  </si>
  <si>
    <t>Indonesian Rupiah</t>
  </si>
  <si>
    <t>IEP</t>
  </si>
  <si>
    <t>Irisches Pfund</t>
  </si>
  <si>
    <t>Irish Punt</t>
  </si>
  <si>
    <t>ILS</t>
  </si>
  <si>
    <t>Israelische Schekel</t>
  </si>
  <si>
    <t>Israeli Scheckel</t>
  </si>
  <si>
    <t>INR</t>
  </si>
  <si>
    <t>Indian Rupee</t>
  </si>
  <si>
    <t>IQD</t>
  </si>
  <si>
    <t>Irakische-Dinar</t>
  </si>
  <si>
    <t>Iraqui Dinar</t>
  </si>
  <si>
    <t>IRR</t>
  </si>
  <si>
    <t>Iranische Rial</t>
  </si>
  <si>
    <t>Iranian Rial</t>
  </si>
  <si>
    <t>ISK</t>
  </si>
  <si>
    <t>Isländische Krone</t>
  </si>
  <si>
    <t>Iceland Krona</t>
  </si>
  <si>
    <t>ITL</t>
  </si>
  <si>
    <t>Italienische Lire</t>
  </si>
  <si>
    <t>Italian Lira</t>
  </si>
  <si>
    <t>JMD</t>
  </si>
  <si>
    <t>Jamaika-Dollar</t>
  </si>
  <si>
    <t>Jamaican Dollar</t>
  </si>
  <si>
    <t>JOD</t>
  </si>
  <si>
    <t>Jordan-Dinar</t>
  </si>
  <si>
    <t>Jordanian Dinar</t>
  </si>
  <si>
    <t>JPY</t>
  </si>
  <si>
    <t>Japanische Yen</t>
  </si>
  <si>
    <t>Japanese Yen</t>
  </si>
  <si>
    <t>KES</t>
  </si>
  <si>
    <t>Kenianische Schilling</t>
  </si>
  <si>
    <t>Kenyan Shilling</t>
  </si>
  <si>
    <t>KGS</t>
  </si>
  <si>
    <t>Kirgisische Som</t>
  </si>
  <si>
    <t>Kyrgyzstan Som</t>
  </si>
  <si>
    <t>KHR</t>
  </si>
  <si>
    <t>Kambodschanische Riel</t>
  </si>
  <si>
    <t>Cambodian Riel</t>
  </si>
  <si>
    <t>KMF</t>
  </si>
  <si>
    <t>Komoren-Frank</t>
  </si>
  <si>
    <t>Comoros Franc</t>
  </si>
  <si>
    <t>KPW</t>
  </si>
  <si>
    <t>Nordkoreanische Won</t>
  </si>
  <si>
    <t>North Korean Won</t>
  </si>
  <si>
    <t>KRW</t>
  </si>
  <si>
    <t>Südkoreanische Won</t>
  </si>
  <si>
    <t>South Korean Won</t>
  </si>
  <si>
    <t>KWD</t>
  </si>
  <si>
    <t>Kuwaitische Dinar</t>
  </si>
  <si>
    <t>Kuwaiti Dinar</t>
  </si>
  <si>
    <t>KYD</t>
  </si>
  <si>
    <t>Kaiman-Dollar</t>
  </si>
  <si>
    <t>Cayman Dollar</t>
  </si>
  <si>
    <t>KZT</t>
  </si>
  <si>
    <t>Kazachische Tenge</t>
  </si>
  <si>
    <t>Kazakstanian Tenge</t>
  </si>
  <si>
    <t>LAK</t>
  </si>
  <si>
    <t>Laotische Kip</t>
  </si>
  <si>
    <t>Laotian Kip</t>
  </si>
  <si>
    <t>LBP</t>
  </si>
  <si>
    <t>Libanesisches Pfund</t>
  </si>
  <si>
    <t>Lebanese Pound</t>
  </si>
  <si>
    <t>LKR</t>
  </si>
  <si>
    <t>Sri-Lanka-Rupie</t>
  </si>
  <si>
    <t>Sri Lankan Rupee</t>
  </si>
  <si>
    <t>LRD</t>
  </si>
  <si>
    <t>Liberianischer Dollar</t>
  </si>
  <si>
    <t>Liberian Dollar</t>
  </si>
  <si>
    <t>LSL</t>
  </si>
  <si>
    <t>Lesotische Loti</t>
  </si>
  <si>
    <t>Lesotho Loti</t>
  </si>
  <si>
    <t>LTL</t>
  </si>
  <si>
    <t>Litauische Lita</t>
  </si>
  <si>
    <t>Lithuanian Lita</t>
  </si>
  <si>
    <t>LUF</t>
  </si>
  <si>
    <t>Luxembourgische Franken</t>
  </si>
  <si>
    <t>Luxembourg Franc</t>
  </si>
  <si>
    <t>LVL</t>
  </si>
  <si>
    <t>Lettländische Lat</t>
  </si>
  <si>
    <t>Latvian Lat</t>
  </si>
  <si>
    <t>LYD</t>
  </si>
  <si>
    <t>Libyscher Dinar</t>
  </si>
  <si>
    <t>Libyan Dinar</t>
  </si>
  <si>
    <t>MAD</t>
  </si>
  <si>
    <t>Marokkanische Dirham</t>
  </si>
  <si>
    <t>Moroccan Dirham</t>
  </si>
  <si>
    <t>MDL</t>
  </si>
  <si>
    <t>Moldavische Lei</t>
  </si>
  <si>
    <t>Moldavian Leu</t>
  </si>
  <si>
    <t>MGF</t>
  </si>
  <si>
    <t>Madagasker Frank</t>
  </si>
  <si>
    <t>Madagascan Franc</t>
  </si>
  <si>
    <t>MKD</t>
  </si>
  <si>
    <t>Mazedonische Denar</t>
  </si>
  <si>
    <t>Macedonian Denar</t>
  </si>
  <si>
    <t>MMK</t>
  </si>
  <si>
    <t>Myanmar Kyat</t>
  </si>
  <si>
    <t>MNT</t>
  </si>
  <si>
    <t>Mongolianische Tugrik</t>
  </si>
  <si>
    <t>Mongolian Tugrik</t>
  </si>
  <si>
    <t>MOP</t>
  </si>
  <si>
    <t>Macauanische Pataca</t>
  </si>
  <si>
    <t>Macao Pataca</t>
  </si>
  <si>
    <t>MRO</t>
  </si>
  <si>
    <t>Mauretanische Ouguiya</t>
  </si>
  <si>
    <t>Mauritanian Ouguiya</t>
  </si>
  <si>
    <t>MTL</t>
  </si>
  <si>
    <t>Maltesische Lira</t>
  </si>
  <si>
    <t>Maltese Lira</t>
  </si>
  <si>
    <t>MUR</t>
  </si>
  <si>
    <t>Mauritius Rupie</t>
  </si>
  <si>
    <t>Mauritian Rupee</t>
  </si>
  <si>
    <t>MVR</t>
  </si>
  <si>
    <t>Maledivische Rufiyaa</t>
  </si>
  <si>
    <t>Maldive Rufiyaa</t>
  </si>
  <si>
    <t>MWK</t>
  </si>
  <si>
    <t>Malawi-Kwacha</t>
  </si>
  <si>
    <t>Malawi Kwacha</t>
  </si>
  <si>
    <t>MXN</t>
  </si>
  <si>
    <t>Mexikanische Pesos</t>
  </si>
  <si>
    <t>Mexican Pesos</t>
  </si>
  <si>
    <t>MYR</t>
  </si>
  <si>
    <t>Malaysischer Ringgit</t>
  </si>
  <si>
    <t>Malaysian Ringgit</t>
  </si>
  <si>
    <t>MZM</t>
  </si>
  <si>
    <t>Mosambikanische Metical</t>
  </si>
  <si>
    <t>Mozambique Metical</t>
  </si>
  <si>
    <t>NAD</t>
  </si>
  <si>
    <t>Namibia Dollar</t>
  </si>
  <si>
    <t>Namibian Dollar</t>
  </si>
  <si>
    <t>NGN</t>
  </si>
  <si>
    <t>Nigerianische Naira</t>
  </si>
  <si>
    <t>Nigerian Naira</t>
  </si>
  <si>
    <t>NIO</t>
  </si>
  <si>
    <t>Nicaraguanische Cordoba Oro</t>
  </si>
  <si>
    <t>Nicaraguan Cordoba Oro</t>
  </si>
  <si>
    <t>NLG</t>
  </si>
  <si>
    <t>Niederländische Gulden</t>
  </si>
  <si>
    <t>Dutch Guilder</t>
  </si>
  <si>
    <t>NOK</t>
  </si>
  <si>
    <t>Norwegische Kronen</t>
  </si>
  <si>
    <t>Norwegian Krone</t>
  </si>
  <si>
    <t>NPR</t>
  </si>
  <si>
    <t>Nepalesische Rupie</t>
  </si>
  <si>
    <t>Nepalese Rupee</t>
  </si>
  <si>
    <t>NZD</t>
  </si>
  <si>
    <t>Neuseeland-Dollar</t>
  </si>
  <si>
    <t>New Zealand Dollars</t>
  </si>
  <si>
    <t>OMR</t>
  </si>
  <si>
    <t>Rial Omani</t>
  </si>
  <si>
    <t>Omani Rial</t>
  </si>
  <si>
    <t>PAB</t>
  </si>
  <si>
    <t>Panamaische Balboa</t>
  </si>
  <si>
    <t>Panamanian Balboa</t>
  </si>
  <si>
    <t>PEN</t>
  </si>
  <si>
    <t>Peruanischer neuer Sol</t>
  </si>
  <si>
    <t>Peruvian New Sol</t>
  </si>
  <si>
    <t>PGK</t>
  </si>
  <si>
    <t>Papua-Neuguineische Kina</t>
  </si>
  <si>
    <t>Papua New Guinea Kina</t>
  </si>
  <si>
    <t>PHP</t>
  </si>
  <si>
    <t>Philippinische Peso</t>
  </si>
  <si>
    <t>Philippine Peso</t>
  </si>
  <si>
    <t>PKR</t>
  </si>
  <si>
    <t>Pakistanische Rupie</t>
  </si>
  <si>
    <t>Pakistani Rupee</t>
  </si>
  <si>
    <t>PLN</t>
  </si>
  <si>
    <t>Polnische Zloty (neu)</t>
  </si>
  <si>
    <t>Polish Zloty (new)</t>
  </si>
  <si>
    <t>PLZ</t>
  </si>
  <si>
    <t>Polish Zloty</t>
  </si>
  <si>
    <t>PTE</t>
  </si>
  <si>
    <t>Portugiesische Escudos</t>
  </si>
  <si>
    <t>Portuguese Escudo</t>
  </si>
  <si>
    <t>PYG</t>
  </si>
  <si>
    <t>Paraguayische Guarani</t>
  </si>
  <si>
    <t>Paraguayan Guarani</t>
  </si>
  <si>
    <t>QAR</t>
  </si>
  <si>
    <t>Katar-Riyal</t>
  </si>
  <si>
    <t>Qatar Rial</t>
  </si>
  <si>
    <t>RMB</t>
  </si>
  <si>
    <t>Chinesische RenMinBi Yuan</t>
  </si>
  <si>
    <t>Chinese Yuan Renminbi</t>
  </si>
  <si>
    <t>ROL</t>
  </si>
  <si>
    <t>Rumänische Lei</t>
  </si>
  <si>
    <t>Romanian Leu</t>
  </si>
  <si>
    <t>RON</t>
  </si>
  <si>
    <t>Romanian Leu New</t>
  </si>
  <si>
    <t>RSD</t>
  </si>
  <si>
    <t>Serbischer Dinar</t>
  </si>
  <si>
    <t>Serbian Dinar</t>
  </si>
  <si>
    <t>RUB</t>
  </si>
  <si>
    <t>Russische Rubel</t>
  </si>
  <si>
    <t>Russian Ruble</t>
  </si>
  <si>
    <t>RUE</t>
  </si>
  <si>
    <t>RWF</t>
  </si>
  <si>
    <t>Ruanda Franc</t>
  </si>
  <si>
    <t>Rwandan Franc</t>
  </si>
  <si>
    <t>SAR</t>
  </si>
  <si>
    <t>Saudi Riyal</t>
  </si>
  <si>
    <t>SBD</t>
  </si>
  <si>
    <t>Salomonen Dollar</t>
  </si>
  <si>
    <t>Solomon Islands Dollar</t>
  </si>
  <si>
    <t>SCR</t>
  </si>
  <si>
    <t>Seychellen Rupie</t>
  </si>
  <si>
    <t>Seychelles Rupee</t>
  </si>
  <si>
    <t>SDP</t>
  </si>
  <si>
    <t>Sudanesisches Pfund</t>
  </si>
  <si>
    <t>Sudanese Pound</t>
  </si>
  <si>
    <t>SEK</t>
  </si>
  <si>
    <t>Schwedische Kronen</t>
  </si>
  <si>
    <t>Swedish Krona</t>
  </si>
  <si>
    <t>SGD</t>
  </si>
  <si>
    <t>Singapur Dollar</t>
  </si>
  <si>
    <t>Singapore Dollar</t>
  </si>
  <si>
    <t>SHP</t>
  </si>
  <si>
    <t>St. Helena Pfund</t>
  </si>
  <si>
    <t>St.Helena Pound</t>
  </si>
  <si>
    <t>SIT</t>
  </si>
  <si>
    <t>Slowenische Tolar</t>
  </si>
  <si>
    <t>Slovenian Tolar</t>
  </si>
  <si>
    <t>SKK</t>
  </si>
  <si>
    <t>Slowakische Krone</t>
  </si>
  <si>
    <t>Slovakian Krona</t>
  </si>
  <si>
    <t>SLL</t>
  </si>
  <si>
    <t>Sierra Leone Leone</t>
  </si>
  <si>
    <t>SOS</t>
  </si>
  <si>
    <t>Somalia Schilling</t>
  </si>
  <si>
    <t>Somalian Shilling</t>
  </si>
  <si>
    <t>SRG</t>
  </si>
  <si>
    <t>Surinamische Gulden</t>
  </si>
  <si>
    <t>Surinam Guilder</t>
  </si>
  <si>
    <t>STD</t>
  </si>
  <si>
    <t>Santomeische Dobra</t>
  </si>
  <si>
    <t>Sao Tome / Principe Dobra</t>
  </si>
  <si>
    <t>SVC</t>
  </si>
  <si>
    <t>El Salvador-Colon</t>
  </si>
  <si>
    <t>El Salvador Colon</t>
  </si>
  <si>
    <t>SYP</t>
  </si>
  <si>
    <t>Syrisches Pfund</t>
  </si>
  <si>
    <t>Syrian Pound</t>
  </si>
  <si>
    <t>SZL</t>
  </si>
  <si>
    <t>Swasiländische Lilangeni</t>
  </si>
  <si>
    <t>Swaziland Lilangeni</t>
  </si>
  <si>
    <t>THB</t>
  </si>
  <si>
    <t>Thailand Bhat</t>
  </si>
  <si>
    <t>Thailand Baht</t>
  </si>
  <si>
    <t>TJR</t>
  </si>
  <si>
    <t>Tadschikische Rubel</t>
  </si>
  <si>
    <t>Tajikistani Ruble</t>
  </si>
  <si>
    <t>TMM</t>
  </si>
  <si>
    <t>Turkmenische Manat</t>
  </si>
  <si>
    <t>Turkmenistani Manat</t>
  </si>
  <si>
    <t>TND</t>
  </si>
  <si>
    <t>Tunesischer Dinar</t>
  </si>
  <si>
    <t>Tunisian Dinar</t>
  </si>
  <si>
    <t>TOP</t>
  </si>
  <si>
    <t>Tongaische Pa'anga</t>
  </si>
  <si>
    <t>Tongan Pa'anga</t>
  </si>
  <si>
    <t>TPE</t>
  </si>
  <si>
    <t>Timor Escudo</t>
  </si>
  <si>
    <t>TRL</t>
  </si>
  <si>
    <t>Türkische Lira</t>
  </si>
  <si>
    <t>Turkish Lira</t>
  </si>
  <si>
    <t>TRY</t>
  </si>
  <si>
    <t>New Turkish Lira</t>
  </si>
  <si>
    <t>TTD</t>
  </si>
  <si>
    <t>Trinidad-u. Tobago-Dollar</t>
  </si>
  <si>
    <t>Trinidad and Tobago Dollar</t>
  </si>
  <si>
    <t>TWD</t>
  </si>
  <si>
    <t>Neuer Taiwan-Dollar</t>
  </si>
  <si>
    <t>New Taiwan Dollar</t>
  </si>
  <si>
    <t>TZS</t>
  </si>
  <si>
    <t>Tansania-Shilling</t>
  </si>
  <si>
    <t>Tanzanian Shilling</t>
  </si>
  <si>
    <t>UAH</t>
  </si>
  <si>
    <t>Ukrainische Karbowanez</t>
  </si>
  <si>
    <t>Ukrainian Hryvnia</t>
  </si>
  <si>
    <t>UAK</t>
  </si>
  <si>
    <t>Ukrainian Karbowanez (old)</t>
  </si>
  <si>
    <t>UGX</t>
  </si>
  <si>
    <t>Uganda Schilling</t>
  </si>
  <si>
    <t>Ugandan Shilling</t>
  </si>
  <si>
    <t>USDN</t>
  </si>
  <si>
    <t>(Intern) Amerikanische Dollar (5 Nachk.)</t>
  </si>
  <si>
    <t>(Internal) United States Dollar (5 Dec.)</t>
  </si>
  <si>
    <t>UYU</t>
  </si>
  <si>
    <t>Uruguy Peso (neu)</t>
  </si>
  <si>
    <t>Uruguayan Peso (new)</t>
  </si>
  <si>
    <t>UZS</t>
  </si>
  <si>
    <t>Uzbekistan Sum</t>
  </si>
  <si>
    <t>Uzbekistan Som</t>
  </si>
  <si>
    <t>VEB</t>
  </si>
  <si>
    <t>Venezolanische Bolivar</t>
  </si>
  <si>
    <t>Venezuelan Bolivar</t>
  </si>
  <si>
    <t>VND</t>
  </si>
  <si>
    <t>Vietnamesische Dong</t>
  </si>
  <si>
    <t>Vietnamese Dong</t>
  </si>
  <si>
    <t>VUV</t>
  </si>
  <si>
    <t>Vanuatische Vatu</t>
  </si>
  <si>
    <t>Vanuatu Vatu</t>
  </si>
  <si>
    <t>WST</t>
  </si>
  <si>
    <t>Samoanische Tala</t>
  </si>
  <si>
    <t>Samoan Tala</t>
  </si>
  <si>
    <t>XAF</t>
  </si>
  <si>
    <t>CFA Franc  BEAC</t>
  </si>
  <si>
    <t>Gabon CFA Franc BEAC</t>
  </si>
  <si>
    <t>XCD</t>
  </si>
  <si>
    <t>Ostkaribischer Dollar</t>
  </si>
  <si>
    <t>East Carribean Dollar</t>
  </si>
  <si>
    <t>XDS</t>
  </si>
  <si>
    <t>St. Christopher Dollar</t>
  </si>
  <si>
    <t>XEU</t>
  </si>
  <si>
    <t>Europäische Währungs Einheit (E.C.U.)</t>
  </si>
  <si>
    <t>European Currency Unit (E.C.U.)</t>
  </si>
  <si>
    <t>XOF</t>
  </si>
  <si>
    <t>CFA Franc  BCEAO</t>
  </si>
  <si>
    <t>Benin CFA Franc BCEAO</t>
  </si>
  <si>
    <t>XPF</t>
  </si>
  <si>
    <t>CFP Franc</t>
  </si>
  <si>
    <t>YEE</t>
  </si>
  <si>
    <t>Special currency EUR (Russia)</t>
  </si>
  <si>
    <t>YER</t>
  </si>
  <si>
    <t>Jemen-Rial</t>
  </si>
  <si>
    <t>Yemeni Ryal</t>
  </si>
  <si>
    <t>YEU</t>
  </si>
  <si>
    <t>Special currency USD (Russia)</t>
  </si>
  <si>
    <t>YUM</t>
  </si>
  <si>
    <t>Jugoslawische neue Dinar</t>
  </si>
  <si>
    <t>New Yugoslavian Dinar</t>
  </si>
  <si>
    <t>ZAR</t>
  </si>
  <si>
    <t>Südafrikanische Rand</t>
  </si>
  <si>
    <t>South African Rand</t>
  </si>
  <si>
    <t>ZMK</t>
  </si>
  <si>
    <t>Zambianische Kwacha</t>
  </si>
  <si>
    <t>Zambian Kwacha</t>
  </si>
  <si>
    <t>ZRN</t>
  </si>
  <si>
    <t>Zaire</t>
  </si>
  <si>
    <t>ZWD</t>
  </si>
  <si>
    <t>Simbabwe Dollar</t>
  </si>
  <si>
    <t>Zimbabwean Dollar</t>
  </si>
  <si>
    <t>Within 180 days without discount</t>
  </si>
  <si>
    <t>Within 120 days without discount</t>
  </si>
  <si>
    <t>Within 90 days without discount</t>
  </si>
  <si>
    <t>Within 60 days without discount</t>
  </si>
  <si>
    <t xml:space="preserve">Within 45 days without discount </t>
  </si>
  <si>
    <t>Within 30 days without discount</t>
  </si>
  <si>
    <t>Innerhalb 180 Tage ohne Skonto</t>
  </si>
  <si>
    <t>Innerhalb 120 Tage ohne Skonto</t>
  </si>
  <si>
    <t>Innerhalb 90 Tage ohne Skonto</t>
  </si>
  <si>
    <t>Innerhalb 60 Tage ohne Skonto</t>
  </si>
  <si>
    <t>Innerhalb 45 Tage ohne Skonto</t>
  </si>
  <si>
    <t>Innerhalb 30 Tage ohne Skonto</t>
  </si>
  <si>
    <t>BENTELER</t>
  </si>
  <si>
    <t>Supplier</t>
  </si>
  <si>
    <t>Lieferant</t>
  </si>
  <si>
    <t>Anforderer (Einkäufer)</t>
  </si>
  <si>
    <t>Requester (Buyer)</t>
  </si>
  <si>
    <t>Did your company implement a process to continuously improve the energy related performance? (Program/Goals)</t>
  </si>
  <si>
    <t>Did your company implement a process to continuously improve the environmental performance? (Program/Goals)</t>
  </si>
  <si>
    <t>Do you have any completed external questionnaire concerning sustainability (e.g. NQC, EcoVadis, etc.)? Have you obtained any external rating?  If you have already completed a questionnaire for an other automotive customer and want to share the rating instead completing Section E of this Self-Assessment Questionnaire, please provide evidence about the obtained sustainability rating.</t>
  </si>
  <si>
    <t>Haben Sie einen ausgefüllten externen Fragebogen zur Nachhaltigkeit (z.B. NQC, EcoVadis, etc.)? Haben Sie ein externes Rating erhalten? Wenn Sie bereits einen Fragebogen für einen anderen Automobilkunden ausgefüllt haben und die Bewertung mit uns teilen möchten, anstatt Abschnitt E dieses Self-Assessment-Fragebogens auszufüllen, erbringen Sie bitte einen Nachweis über die erhaltene Nachhaltigkeitsbewertung.</t>
  </si>
  <si>
    <t>Bitte wählen Sie in Teil 1, ob Ihr Unternehmen die aufgelisteten 
Firmen-Zertifikate besitzt. Bitte fügen Sie eine Kopie der Zertifikate bei. Wenn Ihr Unternehmen kein entsprechendes Zertifikat besitzt, füllen Sie bitte stattdessen die Fragen darunter aus.</t>
  </si>
  <si>
    <r>
      <t xml:space="preserve">5. Section </t>
    </r>
    <r>
      <rPr>
        <b/>
        <sz val="12"/>
        <rFont val="Arial"/>
        <family val="2"/>
      </rPr>
      <t>F</t>
    </r>
    <r>
      <rPr>
        <b/>
        <sz val="10"/>
        <rFont val="Arial"/>
        <family val="2"/>
      </rPr>
      <t xml:space="preserve"> </t>
    </r>
    <r>
      <rPr>
        <b/>
        <sz val="12"/>
        <rFont val="Arial"/>
        <family val="2"/>
      </rPr>
      <t>Supplier Approval Form</t>
    </r>
  </si>
  <si>
    <r>
      <t>1. Wie man Sektion</t>
    </r>
    <r>
      <rPr>
        <b/>
        <sz val="12"/>
        <color rgb="FF0000FF"/>
        <rFont val="Arial"/>
        <family val="2"/>
      </rPr>
      <t xml:space="preserve"> </t>
    </r>
    <r>
      <rPr>
        <b/>
        <sz val="12"/>
        <color theme="1"/>
        <rFont val="Arial"/>
        <family val="2"/>
      </rPr>
      <t>A Company Profile</t>
    </r>
    <r>
      <rPr>
        <sz val="10"/>
        <color theme="1"/>
        <rFont val="Arial"/>
        <family val="2"/>
      </rPr>
      <t xml:space="preserve"> </t>
    </r>
    <r>
      <rPr>
        <b/>
        <sz val="10"/>
        <color theme="1"/>
        <rFont val="Arial"/>
        <family val="2"/>
      </rPr>
      <t>benutzt</t>
    </r>
  </si>
  <si>
    <r>
      <t xml:space="preserve">2. Wie man Sektion </t>
    </r>
    <r>
      <rPr>
        <b/>
        <sz val="12"/>
        <color theme="1"/>
        <rFont val="Arial"/>
        <family val="2"/>
      </rPr>
      <t xml:space="preserve">B Financial &amp; C Quality </t>
    </r>
    <r>
      <rPr>
        <b/>
        <sz val="10"/>
        <color theme="1"/>
        <rFont val="Arial"/>
        <family val="2"/>
      </rPr>
      <t>benutzt</t>
    </r>
  </si>
  <si>
    <r>
      <t xml:space="preserve">3. Wie man Sektion </t>
    </r>
    <r>
      <rPr>
        <b/>
        <sz val="12"/>
        <rFont val="Arial"/>
        <family val="2"/>
      </rPr>
      <t xml:space="preserve">D Environmental Evaluation </t>
    </r>
    <r>
      <rPr>
        <b/>
        <sz val="10"/>
        <rFont val="Arial"/>
        <family val="2"/>
      </rPr>
      <t>benutzt</t>
    </r>
  </si>
  <si>
    <r>
      <t>4. Wie man Sektion</t>
    </r>
    <r>
      <rPr>
        <b/>
        <sz val="12"/>
        <rFont val="Arial"/>
        <family val="2"/>
      </rPr>
      <t xml:space="preserve"> E Social Responsibility </t>
    </r>
    <r>
      <rPr>
        <b/>
        <sz val="10"/>
        <rFont val="Arial"/>
        <family val="2"/>
      </rPr>
      <t>benutzt</t>
    </r>
  </si>
  <si>
    <r>
      <t xml:space="preserve">5. Sektion </t>
    </r>
    <r>
      <rPr>
        <b/>
        <sz val="12"/>
        <rFont val="Arial"/>
        <family val="2"/>
      </rPr>
      <t>F</t>
    </r>
    <r>
      <rPr>
        <b/>
        <sz val="10"/>
        <rFont val="Arial"/>
        <family val="2"/>
      </rPr>
      <t xml:space="preserve"> </t>
    </r>
    <r>
      <rPr>
        <b/>
        <sz val="12"/>
        <rFont val="Arial"/>
        <family val="2"/>
      </rPr>
      <t>Supplier Approval Form</t>
    </r>
  </si>
  <si>
    <t>Vorheriger / Historischer Firmenname</t>
  </si>
  <si>
    <t>Former / historical company name</t>
  </si>
  <si>
    <t>Managing Director / CEO</t>
  </si>
  <si>
    <t>(Only USA / South Africa)</t>
  </si>
  <si>
    <t>(Nur USA / Südafrika)</t>
  </si>
  <si>
    <t>Company turnover / investments (Last 3 years)</t>
  </si>
  <si>
    <t>Unternehmensumsatz / Investitionen (letzte 3 Jahre)</t>
  </si>
  <si>
    <t>Enclosed</t>
  </si>
  <si>
    <t>Beigefügt</t>
  </si>
  <si>
    <t>Umweltschutzmanager</t>
  </si>
  <si>
    <t>Logistikmanager</t>
  </si>
  <si>
    <t>Qualitätsmanager</t>
  </si>
  <si>
    <t>Verkaufsmanager</t>
  </si>
  <si>
    <t>Geschäftsführer / CEO</t>
  </si>
  <si>
    <t>Rückrufkostenversicherung</t>
  </si>
  <si>
    <t>Recall Cost Insurance</t>
  </si>
  <si>
    <t>Erweiterte Produkthaftpflichtversicherung</t>
  </si>
  <si>
    <t>Extended Product Liability Insurance</t>
  </si>
  <si>
    <t>DE</t>
  </si>
  <si>
    <t>EN</t>
  </si>
  <si>
    <t>Schmiedeteile, Aluminium</t>
  </si>
  <si>
    <t>Plastik, Gummi</t>
  </si>
  <si>
    <t>Service-Serie, Verpacken, Etikettieren, Sortieren</t>
  </si>
  <si>
    <t>Service-Serial, Packaging, Labeling, Sorting</t>
  </si>
  <si>
    <t>Machining</t>
  </si>
  <si>
    <t>TCIAC005</t>
  </si>
  <si>
    <t>Kleber, Serie</t>
  </si>
  <si>
    <t>Glue, Serial</t>
  </si>
  <si>
    <t>Oberlächenbehandlung Material</t>
  </si>
  <si>
    <t>Logistikdienstleistungen</t>
  </si>
  <si>
    <t>Logistic Services</t>
  </si>
  <si>
    <t>TCISC000</t>
  </si>
  <si>
    <t>Labore und Testdienstleistungen</t>
  </si>
  <si>
    <t>Laboratories &amp; Testings</t>
  </si>
  <si>
    <t>Commercial register number:</t>
  </si>
  <si>
    <t>(Please attach a current extract from the commercial register (PDF))</t>
  </si>
  <si>
    <t>*Bitte fügen Sie ein offizielles Dokument mit der Bankverbindung bei (PDF).</t>
  </si>
  <si>
    <t>*Please attach an official document stating the bank details (PDF)</t>
  </si>
  <si>
    <t>(Bitte fügen Sie einen aktuellen Handelsregisterauszug (PDF) bei)</t>
  </si>
  <si>
    <t>V2.3</t>
  </si>
  <si>
    <t>V2.4</t>
  </si>
  <si>
    <t>Thorsten Schneider</t>
  </si>
  <si>
    <t>V2.2x</t>
  </si>
  <si>
    <t>Datenschutzbeauftragter (DPO)</t>
  </si>
  <si>
    <t>Data Protection Officer (DPO)</t>
  </si>
  <si>
    <t>Manager Informationssicherheit (CISO)</t>
  </si>
  <si>
    <t>Chief Information Security Officer (CISO)</t>
  </si>
  <si>
    <t>Manager IT-Sicherheit (ISM)</t>
  </si>
  <si>
    <t>IT-Security Manager (ISM)</t>
  </si>
  <si>
    <t>ISO/IEC 27001</t>
  </si>
  <si>
    <t>V2.5</t>
  </si>
  <si>
    <t>Version for Go Live in B-Search</t>
  </si>
  <si>
    <t>- Explanation sheet is added
- Language can be changed into German
- Section F: Integration of Supplier Approval Form (T.PU.009) into Supplier Self-Assessment (T.PU.005)
- Section E: Question 1, 8 and 10 are added.
- Change history added</t>
  </si>
  <si>
    <t>Mirroring of company data (section A to F) corrected
Double cell (commercial register number) in section A removed.</t>
  </si>
  <si>
    <t>Management Certification</t>
  </si>
  <si>
    <t>Zertifizierung des Managements</t>
  </si>
  <si>
    <t>ISO 45001 (vormals OHSAS 18001)</t>
  </si>
  <si>
    <t>ISO 45001 (former OHSAS 18001)</t>
  </si>
  <si>
    <t>Gesundheits &amp; Sicherheits Management System (z.B. ISO 45001 (vormals OHSAS 18001), ANSI Z10, CSA Z1000, BS 8800, OSHA VPP)</t>
  </si>
  <si>
    <t>Health &amp; Safety Management System (e.g. ISO 45001 (former OHSAS 18001), ANSI Z10, CSA Z1000, BS 8800, OSHA VPP)</t>
  </si>
  <si>
    <t>1.4</t>
  </si>
  <si>
    <t>Nr. 5 nicht erforderlich</t>
  </si>
  <si>
    <t>No. 5 not necessary</t>
  </si>
  <si>
    <t>5.2</t>
  </si>
  <si>
    <t>5.3</t>
  </si>
  <si>
    <t>5.4</t>
  </si>
  <si>
    <t>SOC 2</t>
  </si>
  <si>
    <t>Did your company implement procedures to comply to regulations of EU-GDPR?</t>
  </si>
  <si>
    <t>Hat Ihr Unternehmen Verfahren zur Einhaltung der Bestimmungen der EU-DSGVO eingeführt?</t>
  </si>
  <si>
    <t>Hat Ihr Unternehmen einen Prozess zur kontinuierlichen Verbesserung des Datenschutz, IT- und Informationssicherheit implementiert? (Programm/Ziele)</t>
  </si>
  <si>
    <t>Did your company implement a process to continuously improve the data protection, IT- and information security? (Program/Goals)</t>
  </si>
  <si>
    <t>Erhalten Ihre Mitarbeiter regelmäßige Schulungen zum Thema Datenschutz, IT- und Informationssicherheit?</t>
  </si>
  <si>
    <t>Do your associates get periodic trainings related to data protection, IT- and information security?</t>
  </si>
  <si>
    <t>TISAX Verfahren</t>
  </si>
  <si>
    <t>TISAX Assessment</t>
  </si>
  <si>
    <t>Kompetenz:</t>
  </si>
  <si>
    <t>Kernkompetenzen</t>
  </si>
  <si>
    <t>Competence:</t>
  </si>
  <si>
    <t>5.5</t>
  </si>
  <si>
    <t>Steuernummer:</t>
  </si>
  <si>
    <t>Kommunikationssprache:</t>
  </si>
  <si>
    <t>Tax identification number:</t>
  </si>
  <si>
    <t>Language of communication:</t>
  </si>
  <si>
    <t>BIC</t>
  </si>
  <si>
    <t>Frank Wiesner-Walden, Markus Timreck, Thorsten Schneider, Andreas Rudolph, Karina Wert</t>
  </si>
  <si>
    <t>Section A: IT responsibles added
Section C: IT certificates added
Section D: IT questions added
Section F: IT added
Section E: Dealbreaker check corrected</t>
  </si>
  <si>
    <t>Liste erforderlicher Anlagen (als PDF Dateien)</t>
  </si>
  <si>
    <t>List of mandatory attachments (as PDF files)</t>
  </si>
  <si>
    <t>*Bitte fügen Sie eine Kopie der Management-Zertifikate bei (PDF)</t>
  </si>
  <si>
    <t>*Please attach a copy of the management certificates (PDF)</t>
  </si>
  <si>
    <t>Aktueller Handelsregisterauszug</t>
  </si>
  <si>
    <t>Section A:</t>
  </si>
  <si>
    <t>Section B:</t>
  </si>
  <si>
    <t>Section C/D:</t>
  </si>
  <si>
    <t>Section E:</t>
  </si>
  <si>
    <t>Nachhaltigkeitsrating eines Drittanbieters</t>
  </si>
  <si>
    <t>Nachweis über eigenen Verhaltenskodex</t>
  </si>
  <si>
    <t>Nachweis über eigene Corporate Social Responsibility</t>
  </si>
  <si>
    <t>Richtlinie für eine verantwortungsvolle Beschaffung von Rohstoffen</t>
  </si>
  <si>
    <t>(Nur wenn zugehörige Fragen mit "Ja" beantwortet wurden)</t>
  </si>
  <si>
    <t>(Only if related questions are rated with "Yes")</t>
  </si>
  <si>
    <t>Current extract from the commercial register</t>
  </si>
  <si>
    <t>Official document stating the bank details</t>
  </si>
  <si>
    <t>Third-Party Sustainability Rating</t>
  </si>
  <si>
    <t>Evidence of own Code of Conduct</t>
  </si>
  <si>
    <t>Evidence of corporate social responsibility standards</t>
  </si>
  <si>
    <t>Policy on responsible sourcing on raw materials</t>
  </si>
  <si>
    <t>Exportkontrollbeauftragter</t>
  </si>
  <si>
    <t>Export control - responsible</t>
  </si>
  <si>
    <t>Bitte in Section A eintragen!</t>
  </si>
  <si>
    <t>Please enter in Section A!</t>
  </si>
  <si>
    <t>Weiter mit Nr. 2</t>
  </si>
  <si>
    <t>Weiter mit Nr. 3</t>
  </si>
  <si>
    <t>Weiter mit Nr. 4</t>
  </si>
  <si>
    <t>Weiter mit Nr. 5</t>
  </si>
  <si>
    <t>Continue with No. 3</t>
  </si>
  <si>
    <t>Continue with No. 4</t>
  </si>
  <si>
    <t>Continue with No. 5</t>
  </si>
  <si>
    <t>All available managenment certificates</t>
  </si>
  <si>
    <t>Alle verfügbaren Managenment-Zertifikate</t>
  </si>
  <si>
    <t>V2.6</t>
  </si>
  <si>
    <t>Data Protection Information added</t>
  </si>
  <si>
    <t>Frank Wiesner-Walden, Markus Timreck, Thorsten Schneider, Wolfgang Schlattmann</t>
  </si>
  <si>
    <t>Cyber Security</t>
  </si>
  <si>
    <t>TISAX Label - Very high protection (AL3)</t>
  </si>
  <si>
    <t>TISAX Label - High protection (AL2)</t>
  </si>
  <si>
    <t>Cybersicherheit</t>
  </si>
  <si>
    <t>V2.7</t>
  </si>
  <si>
    <t>Self-disclosure VDA ISA</t>
  </si>
  <si>
    <t>Selbstauskunft VDA ISA</t>
  </si>
  <si>
    <t>Freigabe ihrer TISAX Scope ID ist erforderlich, BENTELER TISAX Teilnehmer-ID:</t>
  </si>
  <si>
    <t>Release of your TISAX Scope ID is mandatory, BENTELER TISAX Participant ID:</t>
  </si>
  <si>
    <t>PMKHWN</t>
  </si>
  <si>
    <t>Information about Environmental / Safety / Energy / Cyber Security Management in the company</t>
  </si>
  <si>
    <t>Informationen über Umwelt / Sicherheit / Energie / Cybersicherheit Management im Unternehmen</t>
  </si>
  <si>
    <t>Bewertung HSE- / Energie- / Cybersicherheit Management</t>
  </si>
  <si>
    <t>Evaluation of HSE- / Energy- / Cyber Security Management</t>
  </si>
  <si>
    <t>Bitte erläutern sie ihren Prozess:</t>
  </si>
  <si>
    <t>Please explain your process:</t>
  </si>
  <si>
    <t>Country</t>
  </si>
  <si>
    <t>S1</t>
  </si>
  <si>
    <t>Austria</t>
  </si>
  <si>
    <t>Belgium</t>
  </si>
  <si>
    <t>Brazil</t>
  </si>
  <si>
    <t>China</t>
  </si>
  <si>
    <t>Denmark</t>
  </si>
  <si>
    <t>Finland</t>
  </si>
  <si>
    <t>France</t>
  </si>
  <si>
    <t>Germany</t>
  </si>
  <si>
    <t>Hungary</t>
  </si>
  <si>
    <t>India</t>
  </si>
  <si>
    <t>Japan</t>
  </si>
  <si>
    <t>Mexico</t>
  </si>
  <si>
    <t>Norway</t>
  </si>
  <si>
    <t>Poland</t>
  </si>
  <si>
    <t>Portugal</t>
  </si>
  <si>
    <t>Russia</t>
  </si>
  <si>
    <t>Slovakia</t>
  </si>
  <si>
    <t>South Africa</t>
  </si>
  <si>
    <t>Spain</t>
  </si>
  <si>
    <t>Sweden</t>
  </si>
  <si>
    <t>Switzerland</t>
  </si>
  <si>
    <t>Thailand</t>
  </si>
  <si>
    <t>Turkey</t>
  </si>
  <si>
    <t>United Kingdom</t>
  </si>
  <si>
    <t>United States of America</t>
  </si>
  <si>
    <t>====================</t>
  </si>
  <si>
    <t>Afghanistan</t>
  </si>
  <si>
    <t>Albania</t>
  </si>
  <si>
    <t>Algeria</t>
  </si>
  <si>
    <t>Angola</t>
  </si>
  <si>
    <t>Argentina</t>
  </si>
  <si>
    <t>Armenia</t>
  </si>
  <si>
    <t>Australia</t>
  </si>
  <si>
    <t>Azerbaijan</t>
  </si>
  <si>
    <t>Bahamas</t>
  </si>
  <si>
    <t>Bahrain</t>
  </si>
  <si>
    <t>Bangladesh</t>
  </si>
  <si>
    <t>Barbados</t>
  </si>
  <si>
    <t>Belarus</t>
  </si>
  <si>
    <t>Benin</t>
  </si>
  <si>
    <t>Bhutan</t>
  </si>
  <si>
    <t>Bolivia</t>
  </si>
  <si>
    <t>Bosnia and Herzegovina</t>
  </si>
  <si>
    <t>Botswana</t>
  </si>
  <si>
    <t>Bulgaria</t>
  </si>
  <si>
    <t>Burkina Faso</t>
  </si>
  <si>
    <t>Burundi</t>
  </si>
  <si>
    <t>Cambodia</t>
  </si>
  <si>
    <t>Cameroon</t>
  </si>
  <si>
    <t>Canada</t>
  </si>
  <si>
    <t>Central African Republic</t>
  </si>
  <si>
    <t>Chad</t>
  </si>
  <si>
    <t>Chile</t>
  </si>
  <si>
    <t>Colombia</t>
  </si>
  <si>
    <t>Comoros</t>
  </si>
  <si>
    <t>Congo</t>
  </si>
  <si>
    <t>Costa Rica</t>
  </si>
  <si>
    <t>Croatia</t>
  </si>
  <si>
    <t>Cuba</t>
  </si>
  <si>
    <t>Cyprus</t>
  </si>
  <si>
    <t>Djibouti</t>
  </si>
  <si>
    <t>Dominica</t>
  </si>
  <si>
    <t>Dominican Republic</t>
  </si>
  <si>
    <t>Ecuador</t>
  </si>
  <si>
    <t>Egypt</t>
  </si>
  <si>
    <t>El Salvador</t>
  </si>
  <si>
    <t>Equatorial Guinea</t>
  </si>
  <si>
    <t>Eritrea</t>
  </si>
  <si>
    <t>Estonia</t>
  </si>
  <si>
    <t>Eswatini</t>
  </si>
  <si>
    <t>Ethiopia</t>
  </si>
  <si>
    <t>Gabon</t>
  </si>
  <si>
    <t>Gambia</t>
  </si>
  <si>
    <t>Georgia</t>
  </si>
  <si>
    <t>Ghana</t>
  </si>
  <si>
    <t>Greece</t>
  </si>
  <si>
    <t>Grenada</t>
  </si>
  <si>
    <t>Guatemala</t>
  </si>
  <si>
    <t>Guinea</t>
  </si>
  <si>
    <t>Guyana</t>
  </si>
  <si>
    <t>Haiti</t>
  </si>
  <si>
    <t>Honduras</t>
  </si>
  <si>
    <t>Hong Kong</t>
  </si>
  <si>
    <t>Iceland</t>
  </si>
  <si>
    <t>Indonesia</t>
  </si>
  <si>
    <t>Iran</t>
  </si>
  <si>
    <t>Iraq</t>
  </si>
  <si>
    <t>Ireland</t>
  </si>
  <si>
    <t>Israel</t>
  </si>
  <si>
    <t>Italy</t>
  </si>
  <si>
    <t>Jamaica</t>
  </si>
  <si>
    <t>Jordan</t>
  </si>
  <si>
    <t>Kazakhstan</t>
  </si>
  <si>
    <t>Kenya</t>
  </si>
  <si>
    <t>Kosovo</t>
  </si>
  <si>
    <t>Kuwait</t>
  </si>
  <si>
    <t>Kyrgyzstan</t>
  </si>
  <si>
    <t>Laos</t>
  </si>
  <si>
    <t>Latvia</t>
  </si>
  <si>
    <t>Lebanon</t>
  </si>
  <si>
    <t>Lesotho</t>
  </si>
  <si>
    <t>Liberia</t>
  </si>
  <si>
    <t>Libya</t>
  </si>
  <si>
    <t>Lithuania</t>
  </si>
  <si>
    <t>Luxembourg</t>
  </si>
  <si>
    <t>Madagascar</t>
  </si>
  <si>
    <t>Malawi</t>
  </si>
  <si>
    <t>Malaysia</t>
  </si>
  <si>
    <t>Maldives</t>
  </si>
  <si>
    <t>Mali</t>
  </si>
  <si>
    <t>Malta</t>
  </si>
  <si>
    <t>Mauritania</t>
  </si>
  <si>
    <t>Mauritius</t>
  </si>
  <si>
    <t>Moldova</t>
  </si>
  <si>
    <t>Mongolia</t>
  </si>
  <si>
    <t>Montenegro</t>
  </si>
  <si>
    <t>Morocco</t>
  </si>
  <si>
    <t>Mozambique</t>
  </si>
  <si>
    <t>Myanmar</t>
  </si>
  <si>
    <t>Namibia</t>
  </si>
  <si>
    <t>Nepal</t>
  </si>
  <si>
    <t>New Zealand</t>
  </si>
  <si>
    <t>Nicaragua</t>
  </si>
  <si>
    <t>Niger</t>
  </si>
  <si>
    <t>Nigeria</t>
  </si>
  <si>
    <t>North Macedonia</t>
  </si>
  <si>
    <t>Oman</t>
  </si>
  <si>
    <t>Pakistan</t>
  </si>
  <si>
    <t>Panama</t>
  </si>
  <si>
    <t>Papua New Guinea</t>
  </si>
  <si>
    <t>Paraguay</t>
  </si>
  <si>
    <t>Peru</t>
  </si>
  <si>
    <t>Philippines</t>
  </si>
  <si>
    <t>Qatar</t>
  </si>
  <si>
    <t>Romania</t>
  </si>
  <si>
    <t>Rwanda</t>
  </si>
  <si>
    <t>Saudi Arabia</t>
  </si>
  <si>
    <t>Senegal</t>
  </si>
  <si>
    <t>Serbia</t>
  </si>
  <si>
    <t>Seychelles</t>
  </si>
  <si>
    <t>Sierra Leone</t>
  </si>
  <si>
    <t>Singapore</t>
  </si>
  <si>
    <t>Slovenia</t>
  </si>
  <si>
    <t>Solomon Islands</t>
  </si>
  <si>
    <t>Somalia</t>
  </si>
  <si>
    <t>South Sudan</t>
  </si>
  <si>
    <t>Sri Lanka</t>
  </si>
  <si>
    <t>Sudan</t>
  </si>
  <si>
    <t>Suriname</t>
  </si>
  <si>
    <t>Syria</t>
  </si>
  <si>
    <t>Taiwan</t>
  </si>
  <si>
    <t>Tajikistan</t>
  </si>
  <si>
    <t>Tanzania</t>
  </si>
  <si>
    <t>Timor-Leste</t>
  </si>
  <si>
    <t>Togo</t>
  </si>
  <si>
    <t>Trinidad and Tobago</t>
  </si>
  <si>
    <t>Tunisia</t>
  </si>
  <si>
    <t>Turkmenistan</t>
  </si>
  <si>
    <t>Uganda</t>
  </si>
  <si>
    <t>Ukraine</t>
  </si>
  <si>
    <t>United Arab Emirates</t>
  </si>
  <si>
    <t>Uruguay</t>
  </si>
  <si>
    <t>Uzbekistan</t>
  </si>
  <si>
    <t>Vanuatu</t>
  </si>
  <si>
    <t>Venezuela</t>
  </si>
  <si>
    <t>Vietnam</t>
  </si>
  <si>
    <t>Yemen</t>
  </si>
  <si>
    <t>Zambia</t>
  </si>
  <si>
    <t>Zimbabwe</t>
  </si>
  <si>
    <t>Geschäftspartnerprüfung</t>
  </si>
  <si>
    <t>Business Partner Check</t>
  </si>
  <si>
    <t>DOW JONES Report requested and attached</t>
  </si>
  <si>
    <t>DOW JONES-Bericht angefordert und beigefügt</t>
  </si>
  <si>
    <t>Regional Compliance Officer</t>
  </si>
  <si>
    <t>Versicherungsabteilung</t>
  </si>
  <si>
    <t>Insurance Department</t>
  </si>
  <si>
    <t>Insurance</t>
  </si>
  <si>
    <t>Do you have an export control system in place at least covering trade restrictions (e.g. embargos, dual use goods, goods on commerce control lists, etc.)?</t>
  </si>
  <si>
    <t>Sanction list check conducted, Business Partner is listed</t>
  </si>
  <si>
    <t>Prüfung der Sanktionsliste durchgeführt, Geschäftspartner ist aufgeführt</t>
  </si>
  <si>
    <t>Section F:</t>
  </si>
  <si>
    <t>(only if requested)</t>
  </si>
  <si>
    <t>DOW JONES Report</t>
  </si>
  <si>
    <t>(nur wenn gefordert)</t>
  </si>
  <si>
    <t>Certificate check for approval:</t>
  </si>
  <si>
    <t>x²</t>
  </si>
  <si>
    <t>x³</t>
  </si>
  <si>
    <t>x³/(x)</t>
  </si>
  <si>
    <t>Coverage amounts not sufficient</t>
  </si>
  <si>
    <t>Deckungssummen nicht ausreichend</t>
  </si>
  <si>
    <t>(Für VC2 optional, Entscheidung durch SQM)</t>
  </si>
  <si>
    <t>(Für VC3 &amp; VC4 nicht erforderlich)</t>
  </si>
  <si>
    <t>(For VC3 &amp; VC4 not necessary)</t>
  </si>
  <si>
    <t>Cyber Security (Data Protection) Information updated
Business Partner Check added
Proof of insurance updated
For VC3 &amp; VC4 „Supplier assessment on site“ and „Assigned SQE“ hidden in Approval Form</t>
  </si>
  <si>
    <t>Frank Wiesner-Walden, Markus Timreck, Thorsten Schneider, Olaf Reimann, Daniela Günther</t>
  </si>
  <si>
    <t>Contact Compliance Departement for further advice</t>
  </si>
  <si>
    <t>Kontaktieren Sie Compliance Department für weitere Beratung</t>
  </si>
  <si>
    <t>Umsatzsteuer-Identifikationsnummer:</t>
  </si>
  <si>
    <t>Deckungssummen min. gem. BS.PU.002.An.01</t>
  </si>
  <si>
    <t>Coverage amounts min. acc. BS.PU.002.An.01</t>
  </si>
  <si>
    <t>Deckungssummen min. gem. BS.PU.002.An.01 exklusive US/CAN</t>
  </si>
  <si>
    <t>Coverage amounts min. acc. BS.PU.002.An.01 exklusive US/CAN</t>
  </si>
  <si>
    <t>TCMT0001</t>
  </si>
  <si>
    <t>Rohre / Profile, zusätzlich bearbeitet</t>
  </si>
  <si>
    <t>Tubes / Profiles, Added Value</t>
  </si>
  <si>
    <t>PSCR / Product Safety and Conformity Representative</t>
  </si>
  <si>
    <t>EVP Global Procurement</t>
  </si>
  <si>
    <t xml:space="preserve">Public Liability Insurance </t>
  </si>
  <si>
    <t>Please select in column J54 if your company has an EDI 
connection.</t>
  </si>
  <si>
    <t>Bitte wählen Sie in Zelle J54, ob Ihr Unternehmen über eine EDI 
Verbindung verfügt.</t>
  </si>
  <si>
    <t>Please select in Section B Finance (in the columns D5-7) if your company has a risk insurance. Please fill in all grey cells.
Please find details insurance explanation below.</t>
  </si>
  <si>
    <t>Bitte wählen Sie in Section B Finance (in den Zellen D5-7), ob ihr Unternehmen eine Risikoversicherung hat. Bitte füllen Sie alle ausgegrauten Felder.
Eine ausführliche Erläuterung zur Versicherung finden Sie weiter unten.</t>
  </si>
  <si>
    <t>Insurance requirements explanation</t>
  </si>
  <si>
    <t>Service Provider Pool EU only</t>
  </si>
  <si>
    <t>Recall Cost Insurance EUR</t>
  </si>
  <si>
    <r>
      <rPr>
        <b/>
        <sz val="10"/>
        <rFont val="Arial"/>
        <family val="2"/>
      </rPr>
      <t xml:space="preserve">Service Provider Pool (for services within EU only) </t>
    </r>
    <r>
      <rPr>
        <sz val="10"/>
        <rFont val="Arial"/>
        <family val="2"/>
      </rPr>
      <t xml:space="preserve">
For Service Providers within the EU BENTELER has an insurance coverage under the umbrella of the BENTELER Service Provider Pool in place at no cost for the SERVICE PROVIDER but provided the SERVICE PROVIDED is self-insured with at least 2 mio. EUR.</t>
    </r>
  </si>
  <si>
    <r>
      <rPr>
        <b/>
        <sz val="10"/>
        <rFont val="Arial"/>
        <family val="2"/>
      </rPr>
      <t>Recall</t>
    </r>
    <r>
      <rPr>
        <sz val="10"/>
        <rFont val="Arial"/>
        <family val="2"/>
      </rPr>
      <t xml:space="preserve">
Whenever a Product Liability Insurance is mandatory, the Supplier shall also effect vehicle recall cost insurance - except in case of IT Services - to reimburse, amongst other matters, the costs of notification, transport, testing, sorting, storage, assembly and disassembly as well as disposal in recall actions by automobile manufacturers or the authorities. The amount of coverage for the aforementioned insurance shall be respectively at least 10 mio. EUR  for any one occurrence and in the annual aggregate.</t>
    </r>
  </si>
  <si>
    <t>Erklärung der Versicherungsanforderungen</t>
  </si>
  <si>
    <t>Betriebshaftpflichtversicherung (insbesondere erforderlich, wenn Lieferanten auf dem Gelände von BENTELER tätig sind) EUR</t>
  </si>
  <si>
    <t>Dienstanbieter-Pool nur EU</t>
  </si>
  <si>
    <t>Produkthaftpflichtversicherung EUR</t>
  </si>
  <si>
    <t>Rückrufkostenversicherung EUR</t>
  </si>
  <si>
    <r>
      <rPr>
        <b/>
        <sz val="10"/>
        <rFont val="Arial"/>
        <family val="2"/>
      </rPr>
      <t xml:space="preserve">Service Provider Pool (nur für Dienstleistungen innerhalb der EU) </t>
    </r>
    <r>
      <rPr>
        <sz val="10"/>
        <rFont val="Arial"/>
        <family val="2"/>
      </rPr>
      <t xml:space="preserve">
Für Dienstleister innerhalb der EU hat BENTELER einen Versicherungsschutz unter dem Dach des BENTELER Dienstleisterpools eingerichtet, der für den Dienstleister kostenlos ist, aber voraussetzt, dass der Dienstleister mit mindestens 2 Mio. EUR selbst versichert ist.</t>
    </r>
  </si>
  <si>
    <r>
      <rPr>
        <b/>
        <sz val="10"/>
        <rFont val="Arial"/>
        <family val="2"/>
      </rPr>
      <t>Product Liability Insurance</t>
    </r>
    <r>
      <rPr>
        <sz val="10"/>
        <rFont val="Arial"/>
        <family val="2"/>
      </rPr>
      <t xml:space="preserve">
Mandatory for supply of serial components, raw material or any other product which remains within the end product: 
The Supplier shall effect, at its own costs, third party liability insurance including extended product liability insurance to cover compensation claims of third parties arising from defective goods or services, with worldwide coverage (including Canada/ USA). This includes property damage, personal injury, and financial loss including but not limited to further processing costs, assembly and disassembly costs, testing and sorting costs. The Supplier shall maintain the aforementioned insurances at all times during the term of the contract and shall ensure that after the ending of the contract any potential damage, which was caused at least in part during the term of the contract, remains insured. The amount of coverage for the aforementioned insurance shall be respectively at least 10 mio. EUR for any one occurrence and in the annual aggregate.
</t>
    </r>
    <r>
      <rPr>
        <b/>
        <sz val="10"/>
        <rFont val="Arial"/>
        <family val="2"/>
      </rPr>
      <t>Particular Case:  (IT Services)</t>
    </r>
    <r>
      <rPr>
        <sz val="10"/>
        <rFont val="Arial"/>
        <family val="2"/>
      </rPr>
      <t xml:space="preserve">
Before starting any performance of work and/or services the IT SERVICE PROVIDER is obliged to ensure liability insurance coverage for IT Product Liability damages at a minimum of 5 mio. EUR . A copy of the valid insurance certificate is to be submitted on request by BENTELER prior to performing its work/service. If this IT SERVICE PROVIDER enters BENTELER premises for his performance of work, the aforesaid to Public Liability Insurance applies additionally.</t>
    </r>
  </si>
  <si>
    <r>
      <rPr>
        <b/>
        <sz val="10"/>
        <rFont val="Arial"/>
        <family val="2"/>
      </rPr>
      <t>Produkthaftpflichtversicherung</t>
    </r>
    <r>
      <rPr>
        <sz val="10"/>
        <rFont val="Arial"/>
        <family val="2"/>
      </rPr>
      <t xml:space="preserve">
Obligatorisch für die Lieferung von Serienbauteilen, Rohmaterial oder anderen Produkten, die im Endprodukt verbleiben: 
Der Lieferant hat auf eigene Kosten eine Haftpflichtversicherung einschließlich einer erweiterten Produkthaftpflichtversicherung zur Deckung von Schadensersatzansprüchen Dritter aus fehlerhaften Waren oder Dienstleistungen mit weltweiter Deckung (einschließlich Kanada/USA) abzuschließen. Dies umfasst Sach-, Personen- und Vermögensschäden einschließlich, aber nicht beschränkt auf Weiterverarbeitungskosten, Montage- und Demontagekosten, Prüf- und Sortierkosten. Der Lieferant hat die vorgenannten Versicherungen während der Vertragslaufzeit jederzeit aufrechtzuerhalten und dafür zu sorgen, dass nach Beendigung des Vertrages etwaige Schäden, die zumindest teilweise während der Vertragslaufzeit verursacht wurden, versichert bleiben. Die Deckungssumme für die vorgenannte Versicherung beträgt jeweils mindestens 10 Mio. EUR. EUR für jedes einzelne Ereignis und für die jährliche Gesamtsumme.
</t>
    </r>
    <r>
      <rPr>
        <b/>
        <sz val="10"/>
        <rFont val="Arial"/>
        <family val="2"/>
      </rPr>
      <t>Besonderer Fall:  (IT-Dienstleistungen)</t>
    </r>
    <r>
      <rPr>
        <sz val="10"/>
        <rFont val="Arial"/>
        <family val="2"/>
      </rPr>
      <t xml:space="preserve">
Der IT-DIENSTLEISTER ist verpflichtet, vor Beginn der Leistungserbringung eine Haftpflichtversicherung für IT-Produkthaftpflichtschäden mit einer Mindestdeckungssumme von 5 Mio. EUR abzuschließen. EUR SICHERZUSTELLEN. Eine Kopie des gültigen Versicherungsnachweises ist auf Verlangen von BENTELER vor Beginn der Leistungserbringung vorzulegen. Betritt der IT-DIENSTLEISTER zur Erbringung seiner Leistungen das Betriebsgelände von BENTELER, gilt die vorgenannte Betriebshaftpflichtversicherung zusätzlich.</t>
    </r>
  </si>
  <si>
    <r>
      <rPr>
        <b/>
        <sz val="10"/>
        <rFont val="Arial"/>
        <family val="2"/>
      </rPr>
      <t>Rückruf</t>
    </r>
    <r>
      <rPr>
        <sz val="10"/>
        <rFont val="Arial"/>
        <family val="2"/>
      </rPr>
      <t xml:space="preserve">
Soweit eine Produkthaftpflichtversicherung vorgeschrieben ist, schließt der Lieferant - außer bei IT-Dienstleistungen - auch eine Fahrzeug-Rückrufkostenversicherung ab, die u.a. die Kosten für Benachrichtigung, Transport, Prüfung, Sortierung, Lagerung, Montage und Demontage sowie Entsorgung bei Rückrufaktionen durch Automobilhersteller oder Behörden erstattet. Die Deckungssumme für die vorgenannte Versicherung beträgt jeweils mindestens 10 Mio. EUR. EUR für jedes einzelne Ereignis und in der jährlichen Gesamtsumme.</t>
    </r>
  </si>
  <si>
    <t>Alle erforderlichen Versicherungsnachweise gem. BS.PU.002.An.01 beigefügt:</t>
  </si>
  <si>
    <t>All required insurance certificates according to BS.PU.002.An.01 attached:</t>
  </si>
  <si>
    <t>PSCR / Produktsicherheits- und Produktkonformitätsbeauftragter</t>
  </si>
  <si>
    <t>D&amp;B Rating:</t>
  </si>
  <si>
    <t>V2.7.1</t>
  </si>
  <si>
    <t>Alexander Hermann, Thorsten Schneider</t>
  </si>
  <si>
    <t>Signature EVP-PU only for VC1&amp;VC2 changed</t>
  </si>
  <si>
    <t>Haben Sie einen Prozess zur Kontrolle und Einhaltung der relevanten gesetzlichen Vorschriften, freiwilligen Vereinbarungen mit Kunden etc. implementiert?</t>
  </si>
  <si>
    <t>Did you implement a process to control and comply to relevant legal regulations, voluntary agreements with customers etc.?</t>
  </si>
  <si>
    <t>Please explain your Cyber Security Roadmap:</t>
  </si>
  <si>
    <t>Bitte erläutern Sie Ihren Fahrplan für die Cybersicherheit:</t>
  </si>
  <si>
    <t>Sie haben keine Zertifikate/ Nachweise zu Cybersecurity angegeben.</t>
  </si>
  <si>
    <t>You have not specified any certificates/ evidence on cybersecurity.</t>
  </si>
  <si>
    <t>Risikobewertung</t>
  </si>
  <si>
    <t>Anforderungen erfüllt</t>
  </si>
  <si>
    <t>Anforderungen bedingt erfüllt</t>
  </si>
  <si>
    <t>Anforderungen nicht erfüllt</t>
  </si>
  <si>
    <t>Requirements fulfilled</t>
  </si>
  <si>
    <t>Requirements conditionally fulfilled</t>
  </si>
  <si>
    <t>Requirements not fulfilled</t>
  </si>
  <si>
    <t>Public Liability (especially required if suppliers are active on BENTELER premises) Insurance EUR</t>
  </si>
  <si>
    <t>Did you implement a process to control and comply to relevant legal regulations, voluntary agreements with customer, public authorities, industry associations or own company-specific requirements? (e.g. regular audits, policies against harmful pollution of soil, water, and air, guidelines against harmful noise emission)</t>
  </si>
  <si>
    <t>Haben Sie einen Prozess zur Kontrolle und Einhaltung der relevanten gesetzlichen Vorschriften, freiwilliger Vereinbarungen mit Kunden, Behörden, Verbänden oder eigenen unternehmensspezifischen Anforderungen implementiert? (z.B. regelmäßige Audits, Maßnahmen gegen die schädliche Verunreinigung von Boden, Wasser, Luft und gegen schädliche Lärmemissionen)</t>
  </si>
  <si>
    <t>Product Liability Insurance EUR</t>
  </si>
  <si>
    <t>Has your company established an own Code of Conduct and the principles of it at least match with the principles of BENTELER? If yes, please provide evidence.</t>
  </si>
  <si>
    <t>Hat Ihr Unternehmen einen eigenen Verhaltenskodex aufgestellt und dessen Prinzipien entsprechen mindestens den Prinzipien von BENTELER? Wenn ja, legen Sie bitte Nachweise vor.</t>
  </si>
  <si>
    <t>References: ILO Conventions 29, 105 – Prohibition of forced labor and disciplinary punitive measures and LkSG</t>
  </si>
  <si>
    <t>Referenzen: ILO Konventionen 29, 105 - Verbot von Zwangsarbeit und disziplinarischen Sanktionsmaßnahmen und LkSG</t>
  </si>
  <si>
    <t>Is it prohibited in your company to apply any type of forced labor including, but not limited to modern slavery?</t>
  </si>
  <si>
    <t>Ist es in Ihrem Unternehmen verboten, jegliche Art von Zwangsarbeit inkl. moderne Sklaverei zu leisten?</t>
  </si>
  <si>
    <t>2.6</t>
  </si>
  <si>
    <t>2.7</t>
  </si>
  <si>
    <t xml:space="preserve">Does your company forbid unlawful evictions and unlawful deprivations of land, forest or bodies of water, as well as forbid the usage of land, forest and bodies of water which are substantial to the livelihood of people? </t>
  </si>
  <si>
    <t>References: ILO Conventions 100, 111, 143, 158, 159 – Non discrimination rule and LkSG</t>
  </si>
  <si>
    <t>Referenzen: ILO Konventionen 100, 111, 143, 158, 159 - Antidiskriminierungsregel und LkSG</t>
  </si>
  <si>
    <t>Können Sie mit hinreichender Sicherheit ausschließen, dass Mitglieder von Minderheitengruppen in Ihrem Unternehmen in irgendeiner Weise diskriminiert werden, aufgrund sozialer oder demografischer Merkmale (z.B. ethnische Abstammung, sexuelle Orientierung, Religion, politische Meinung usw.)?</t>
  </si>
  <si>
    <t>Can you exclude with reasonable certainty, that members of minority groups are discriminated based on social or demographic characteristics (e.g. ethnicity, sexual orientation, religion, political view etc.) in any kind of way in your company?</t>
  </si>
  <si>
    <t>3.7</t>
  </si>
  <si>
    <t xml:space="preserve">Hat Ihr Unternehmen Massnahmen, die die menschliche und repesktvolle Behandlung von Mitarbeitern sichern? 
Die brutale oder unmenschliche Behandlung von Arbeitskräften ist nicht zulässig. Diese Verbote gelten auch bei Einsatz von internen und externen Sicherheitskräften. </t>
  </si>
  <si>
    <t xml:space="preserve">Does your company have measures to ensure workers are treated humanely and respectfully? 
Brutal or inhumane treatment of workers is prohibited. These prohibitions also apply when internal and external security forces are deployed.  </t>
  </si>
  <si>
    <t xml:space="preserve">Referenz: LkSG </t>
  </si>
  <si>
    <t xml:space="preserve">Reference: LkSG </t>
  </si>
  <si>
    <t>Referenz: ILO Konventionen 132 - Bezahlter Urlaub</t>
  </si>
  <si>
    <t>Ist in Ihrem Unternehmen verboten widerrechtliche Zwangsräumungen sowie widerrechtlicher Entzug von Land, Wälder oder Gewässer und die Nutzung von Land, Wälder und Gewässern, deren Nutzung die Lebensgrundlage eines Menschen sichert?</t>
  </si>
  <si>
    <t xml:space="preserve">Other References: </t>
  </si>
  <si>
    <t>LkSG</t>
  </si>
  <si>
    <t>Lieferkettensorgfaltspflichtengesetz (German Language)</t>
  </si>
  <si>
    <t>Act on Corporate Due Diligence Obligations in Supply Chains Germany (English Language)</t>
  </si>
  <si>
    <t xml:space="preserve">Risk Assessment </t>
  </si>
  <si>
    <t>Anwendung von Qualitätsmanagement Methoden</t>
  </si>
  <si>
    <t>Wie wollen Sie Ihr Management System entwickeln, um unsere Cybersicherheitsanforderungen innerhalb der nächsten maximal 18 Monate zu erfüllen?</t>
  </si>
  <si>
    <t xml:space="preserve">BENTELERs Lieferanten müssen die für eine Geschäftsbeziehung mit BENTELER gültigen Umweltvorschriften und gesetzlichen Anforderungen einhalten (z.B. Minamata Übereinkommen, Basel Übereinkommen, Stockholm Übereinkommen, POPs Übereinkommen), die in dem Lieferantenkodex Abschnitt UMWELT detailiert sind. Können Sie mit hinreichender Sicherheit bestätigen, dass Ihr Unternhemen sich an die im Abschnitt UMWELT detailierten Grundsätze hält? </t>
  </si>
  <si>
    <t xml:space="preserve">BENTELER's Suppliers shall comply with environmental requirements set forth in laws and regulations mandatory for a business relationship with BENTELER (e.g.Minamata Convention, Basel Convention, Stockholm Convention, POPs Convention) as is detailed in the Supplier Code of Conduct, Section ENVIRONMENT. Can you confirm with reasonable certainty, that your company abides by the principles established in Section ENVIRONMENT of the BENTELER Supplier Code of Conduct?  </t>
  </si>
  <si>
    <t>V2.8</t>
  </si>
  <si>
    <t>Valeria Garcia Diaz Villamil, Thorsten Schneider</t>
  </si>
  <si>
    <t>Format corretions, LkSG additions / changes</t>
  </si>
  <si>
    <t>Hinweis: Detailierte Erläuterungen zu den Versicherung, die BENTELER Zulieferer führen und nachweisen müssen, finden sie im Tabellenblatt Explanation.</t>
  </si>
  <si>
    <t>Note: Detailed explanations of the insurance that BENTELER suppliers must maintain and provide evidence of can be found in the Explanation spreadsheet.</t>
  </si>
  <si>
    <t>Offizielles Dokument mit Bankverbindung</t>
  </si>
  <si>
    <t>V2.9</t>
  </si>
  <si>
    <t>Alexander Hermann, Markus Timreck, Thorsten Schneider</t>
  </si>
  <si>
    <t>Cybersicherheitskategorie:</t>
  </si>
  <si>
    <t>Cyber Security Category:</t>
  </si>
  <si>
    <t>1 - Very High Protection</t>
  </si>
  <si>
    <t>2 - High Protection</t>
  </si>
  <si>
    <t>CS categories</t>
  </si>
  <si>
    <t>Zertifikate &amp; Qualität</t>
  </si>
  <si>
    <t>Certificates &amp; Quality</t>
  </si>
  <si>
    <t>Cyber Security Categories in approval form added, new structure in Section B+C</t>
  </si>
  <si>
    <t>"Keine Freigabe von Lieferanten ohne schriftliche Genehmigung vom Einkaufsmanagement!"</t>
  </si>
  <si>
    <t>"No supplier approval except by written decision from procurement management!"</t>
  </si>
  <si>
    <t>V2.10</t>
  </si>
  <si>
    <t xml:space="preserve">Wording for "Decision" updated </t>
  </si>
  <si>
    <t>V2.11</t>
  </si>
  <si>
    <t>Valeria Garcia Diaz Villamil, Alexander Herrmann, Thorsten Schneider</t>
  </si>
  <si>
    <t>Signature Cyber Security hided by category 4, signature Compliance Officer shown also if sanction list is yes</t>
  </si>
  <si>
    <t>Deckungssummen nicht ausreichend, Lieferant tritt dem BENTELER - Insurance Supplier Pool/ -Service Provider Pool bei</t>
  </si>
  <si>
    <t>Coverage amounts not sufficient, supplier join the BENTELER - Insurance Supplier Pool/ -Service Provider Pool</t>
  </si>
  <si>
    <t>BENTELER Rahmenliefervertrag</t>
  </si>
  <si>
    <t>BENTELER General Supply Contract</t>
  </si>
  <si>
    <t>BENTELER Allgemeine Geschäftsbedingungen</t>
  </si>
  <si>
    <t>BENTELER General Terms and Conditions</t>
  </si>
  <si>
    <r>
      <rPr>
        <b/>
        <sz val="10"/>
        <rFont val="Arial"/>
        <family val="2"/>
      </rPr>
      <t>Public Liability Insurance</t>
    </r>
    <r>
      <rPr>
        <sz val="10"/>
        <rFont val="Arial"/>
        <family val="2"/>
      </rPr>
      <t xml:space="preserve">
Mandatory for Suppliers/Service Providers with an annual turnover &gt; 50.000 EUR with BENTELER that will perform their work on or enter BENTELER premises in connection with their supply/service (SERVICE PROVIDER).
Before starting any performance of work and/or services and/or entry of premises the SERVICE PROVIDER is obliged to ensure liability insurance coverage at its own expense for bodily injury as well as property damages at a minimum of 5 mio. EUR . 
A copy of the valid insurance certificate is to be submitted on request by BENTELER prior to performing its work/service. For regularly booked Service Providers or long term contracts the validity of the insurance certificate has to be checked once a year.
</t>
    </r>
    <r>
      <rPr>
        <b/>
        <sz val="10"/>
        <rFont val="Arial"/>
        <family val="2"/>
      </rPr>
      <t>Particular Case:  (Machinery)</t>
    </r>
    <r>
      <rPr>
        <sz val="10"/>
        <rFont val="Arial"/>
        <family val="2"/>
      </rPr>
      <t xml:space="preserve">
Before starting any performance of work/assembly the Seller has to provide evidence to BENTELER that for the assembly and start-up of the delivery item a liability insurance coverage at its own expense at a minimum of 10 mio. EUR, but in any case at an amount not less than the purchasing price for the delivery item, is in force. 
Before starting any performance of work/assembly the machinery supplier is obliged to ensure sufficient erection and construction all risks insurance coverage at its own expense with a limit up to an amount not less than the purchasing price for the delivery item. A copy of the valid insurance certificate is to be submitted on request by the customer. The assembly and installation of the delivery item has to be according to the applicable local regulations for the prevention of accidents.</t>
    </r>
  </si>
  <si>
    <r>
      <rPr>
        <b/>
        <sz val="10"/>
        <rFont val="Arial"/>
        <family val="2"/>
      </rPr>
      <t>Betriebshaftpflichtversicherung</t>
    </r>
    <r>
      <rPr>
        <sz val="10"/>
        <rFont val="Arial"/>
        <family val="2"/>
      </rPr>
      <t xml:space="preserve">
Obligatorisch für Lieferanten/Dienstleister, die einen Mindestjahresumsatz von 50.000 EUR mit BENTELER haben und die im Zusammenhang mit ihrer Lieferung/Leistung Arbeiten auf dem Gelände von BENTELER ausführen oder dieses betreten (DIENSTLEISTER).
Der DIENSTLEISTER ist verpflichtet, vor Beginn der Leistungserbringung bzw. dem Betreten des Geländes auf eigene Kosten eine Haftpflichtversicherung für Personen- und Sachschäden mit einer Mindestdeckungssumme von 5 Mio. EUR abzuschließen.
Eine Kopie des gültigen Versicherungsnachweises ist auf Verlangen von BENTELER vor der Leistungserbringung vorzulegen. Bei regelmäßig gebuchten Dienstleistern oder langfristigen Verträgen ist die Gültigkeit des Versicherungsnachweises einmal jährlich zu überprüfen.
</t>
    </r>
    <r>
      <rPr>
        <b/>
        <sz val="10"/>
        <rFont val="Arial"/>
        <family val="2"/>
      </rPr>
      <t>Besonderer Fall:  (Maschinen)</t>
    </r>
    <r>
      <rPr>
        <sz val="10"/>
        <rFont val="Arial"/>
        <family val="2"/>
      </rPr>
      <t xml:space="preserve">
Der Auftragnehmer hat BENTELER vor Beginn der Arbeiten/Montagen nachzuweisen, dass für die Montage und Inbetriebnahme des Liefergegenstandes eine Haftpflichtversicherung auf eigene Kosten mit einer Mindestdeckungssumme von 10 Mio. EUR besteht. EUR, mindestens jedoch in Höhe des Kaufpreises für den Liefergegenstand, besteht. 
Der Maschinenlieferant ist verpflichtet, vor Beginn der Arbeiten/Montage auf eigene Kosten eine ausreichende Montageversicherung mit einer Deckungssumme bis zur Höhe des Kaufpreises für den Liefergegenstand abzuschließen. Eine Kopie des gültigen Versicherungsnachweises ist auf Verlangen des Bestellers vorzulegen. Die Aufstellung und Montage des Liefergegenstandes hat nach den geltenden örtlichen Unfallverhütungsvorschriften zu erfolgen.</t>
    </r>
  </si>
  <si>
    <t>VDA 6.3 Potential Analysis P1 self-audit (VC1+VC2)</t>
  </si>
  <si>
    <t>VDA 6.3 Potentialanalyse P1 Selbst-Audit (VC1+VC2)</t>
  </si>
  <si>
    <t>Keine weitere TC</t>
  </si>
  <si>
    <t>No further TC</t>
  </si>
  <si>
    <t>Andere Zertifizierung</t>
  </si>
  <si>
    <t>Other certifications</t>
  </si>
  <si>
    <t>Selection(3)</t>
  </si>
  <si>
    <t>Über GSC</t>
  </si>
  <si>
    <t>Via GSC</t>
  </si>
  <si>
    <t>How do you want to develope your management system to fulfill our cyber security requirements within the next maximum 18 months?</t>
  </si>
  <si>
    <t>Is this supplier a laboratory?</t>
  </si>
  <si>
    <t>Handelt es sich bei diesem Lieferant um ein Labor?</t>
  </si>
  <si>
    <t>Lieferantenklasse</t>
  </si>
  <si>
    <t>Technologieklasse / Code</t>
  </si>
  <si>
    <t>Technology Class / Code</t>
  </si>
  <si>
    <t>Technologieklassen / Codes:</t>
  </si>
  <si>
    <t>Technology Classes / Codes:</t>
  </si>
  <si>
    <t>VAT-/ USCC-/ GSTIN- Number:</t>
  </si>
  <si>
    <t>History of changes</t>
  </si>
  <si>
    <t>2. Einstellung der Lieferanten- und Technologieklasse</t>
  </si>
  <si>
    <t>2. Setting the vendor class and technologie class</t>
  </si>
  <si>
    <t>3. Einstellung der Cybersicherheitskategorie</t>
  </si>
  <si>
    <t>3. Setting the Cyber Security Category</t>
  </si>
  <si>
    <t>4. Übermittlung an den Lieferanten</t>
  </si>
  <si>
    <t>4. Submission to the supplier</t>
  </si>
  <si>
    <t>The T.PU.005 is now ready, to provide it with respective Supplier Assessment Package acc. P.PU.038 to the supplier.</t>
  </si>
  <si>
    <t>Die T.PU.005 ist nun fertig, um sie mit dem entsprechenden Lieferantenbewertungspaket gem. P.PU.038 an den Lieferanten zu übermitteln.</t>
  </si>
  <si>
    <r>
      <t xml:space="preserve">5. Wie man Sektion </t>
    </r>
    <r>
      <rPr>
        <b/>
        <sz val="12"/>
        <rFont val="Arial"/>
        <family val="2"/>
      </rPr>
      <t>F</t>
    </r>
    <r>
      <rPr>
        <b/>
        <sz val="10"/>
        <rFont val="Arial"/>
        <family val="2"/>
      </rPr>
      <t xml:space="preserve"> </t>
    </r>
    <r>
      <rPr>
        <b/>
        <sz val="12"/>
        <rFont val="Arial"/>
        <family val="2"/>
      </rPr>
      <t xml:space="preserve">Supplier Approval Form </t>
    </r>
    <r>
      <rPr>
        <b/>
        <sz val="10"/>
        <rFont val="Arial"/>
        <family val="2"/>
      </rPr>
      <t>benutzt, nach dem die T.PU.005 vom Lieferanten zurück gesendet wurde</t>
    </r>
  </si>
  <si>
    <r>
      <t xml:space="preserve">5. How to use Section </t>
    </r>
    <r>
      <rPr>
        <b/>
        <sz val="12"/>
        <rFont val="Arial"/>
        <family val="2"/>
      </rPr>
      <t>F Supplier Approval Form</t>
    </r>
    <r>
      <rPr>
        <b/>
        <sz val="10"/>
        <rFont val="Arial"/>
        <family val="2"/>
      </rPr>
      <t xml:space="preserve"> after the T.PU.005 has been returned from the supplier</t>
    </r>
  </si>
  <si>
    <t>According to the selected vendor class (VC1-VC4), all remaining relevant fields must be filled in.
If you have no comments, enter "./." or "-" in field Comments.
Check whether all the required certificates have been submitted in accordance with the "List of required attachments" (area C, column D).</t>
  </si>
  <si>
    <t>Gemäß der gewählten Lieferantenklasse (VC1-VC4), müssen alle restlichen relevanten Felder ausgefüllt werden.
Wenn Sie keine Kommentare eintragen, schreiben Sie "./." oder "-" in das Feld Kommentare.
Prüfen sie, ob alle erforderlichen Nachweise gem. "Liste erforderlicher Anlagen" (Bereich C, Spalte D) mit übermittelt wurden.</t>
  </si>
  <si>
    <t>N/A</t>
  </si>
  <si>
    <t>Selection4</t>
  </si>
  <si>
    <t>Version Nr.</t>
  </si>
  <si>
    <t>Ort der Änderung</t>
  </si>
  <si>
    <t>Durchgeführte Änderung</t>
  </si>
  <si>
    <t>Funktion / Stichwort</t>
  </si>
  <si>
    <t>Ausgelöst durch</t>
  </si>
  <si>
    <t>Geändert von</t>
  </si>
  <si>
    <t>B-Search</t>
  </si>
  <si>
    <t>Upload</t>
  </si>
  <si>
    <t>Th. Schneider</t>
  </si>
  <si>
    <t>A. Hermann</t>
  </si>
  <si>
    <t>Text für Public Liability angepasst</t>
  </si>
  <si>
    <t xml:space="preserve">größer 50.000 Euro </t>
  </si>
  <si>
    <t>I. Rode</t>
  </si>
  <si>
    <t>Revision list</t>
  </si>
  <si>
    <t>Cyber Security Dropdown angepasst</t>
  </si>
  <si>
    <t>ISAE 3402 entfernt und Others in Other certifications geändert analog T.PU.005</t>
  </si>
  <si>
    <t>2.11</t>
  </si>
  <si>
    <t>2.11.5</t>
  </si>
  <si>
    <t>B Financial &amp; C Quality</t>
  </si>
  <si>
    <t>Change history in Revision list umbenannt</t>
  </si>
  <si>
    <t>Weiterführung analog zu anderen Revision lists</t>
  </si>
  <si>
    <t>2.11.4</t>
  </si>
  <si>
    <t>3.0</t>
  </si>
  <si>
    <t>2.11.6</t>
  </si>
  <si>
    <t>Supplier Approval</t>
  </si>
  <si>
    <t>Stellen Sie sicher, dass alle Nachweise, Unterschriften und die HZP-Nr. für Abschnitt C und D vorliegen. 
!!! Die Zulassung ist nur für die angegebene/n Technologieklasse/n gültig !!!</t>
  </si>
  <si>
    <t>Kopftext Feld A5 korrigiert</t>
  </si>
  <si>
    <t>Language table 255; Schreibfehler im deutschen korrigiert</t>
  </si>
  <si>
    <t>2.11.7</t>
  </si>
  <si>
    <t>Versicherungsdropdown angepasst</t>
  </si>
  <si>
    <t>The supplier will have an estimated annual turnover &lt; 50,000 EUR in current and upcoming calendar year</t>
  </si>
  <si>
    <t>Der Lieferant wird einen geschätzen Jahresumsatz von &lt; 50.000 EUR im laufenden und kommenden Kalenderjahr haben</t>
  </si>
  <si>
    <t>* x = ja; - = nein; (x) = optional; x¹ = nur VW; x² = gem. BS.PU.002.An.01 / BST_PR_AD026; x³ = für Serienlieferungen</t>
  </si>
  <si>
    <t>* x = yes; - = no; (x) = optional; x¹ = only VW; x² = acc. to BS.PU.002.An.01 / BST_PR_AD026; x³ = for serial supply</t>
  </si>
  <si>
    <t>BST_PR_AD026 ergänzt</t>
  </si>
  <si>
    <t>(For VC2 optional, decision by SQM)</t>
  </si>
  <si>
    <t>Überall im Zusammenhang mit BS.PU.002.An.01</t>
  </si>
  <si>
    <t>Language table</t>
  </si>
  <si>
    <t>No insurance required acc. to BS.PU.002.An.01 / BST_PR_AD026</t>
  </si>
  <si>
    <t>Keine Versicherung erforderlich gem. BS.PU.002.An.01 / BST_PR_AD026</t>
  </si>
  <si>
    <t>Zeilen getauscht; Jahresumsatz &lt;50.000EUR und Nicht erforderlich hinzu</t>
  </si>
  <si>
    <t>BST Commodity Manager / BST Regional Manager</t>
  </si>
  <si>
    <t>BST Commodity Manager / Lead Commodity Manager</t>
  </si>
  <si>
    <t>SQE</t>
  </si>
  <si>
    <t>VP Procurement</t>
  </si>
  <si>
    <t>Entscheidung für BAT durch:</t>
  </si>
  <si>
    <t>Decision for BAT by:</t>
  </si>
  <si>
    <t>Entscheidung für BST durch:</t>
  </si>
  <si>
    <t>Decision for BST by:</t>
  </si>
  <si>
    <t>2.11.8</t>
  </si>
  <si>
    <t>Unterschriftenfeld für BST hinzugefügt</t>
  </si>
  <si>
    <t>U. Heinrichs</t>
  </si>
  <si>
    <t>Anwendung der Lieferantenmanagement-Plattform – SupplyOn</t>
  </si>
  <si>
    <t>Application of Supplier Management Plattform – SupplyOn</t>
  </si>
  <si>
    <t>Are you registered for SupplyOn plattform and you have it in use?</t>
  </si>
  <si>
    <t>Sind Sie für die SupplyOn-Plattform registriert und haben diese im Einsatz?</t>
  </si>
  <si>
    <t>2.11.9</t>
  </si>
  <si>
    <t>SupplyOn Abfragen hinzugefügt</t>
  </si>
  <si>
    <t>Nur für VC1</t>
  </si>
  <si>
    <t>Are you registered for Project Management Service (APQP) in SupplyOn for other customers?</t>
  </si>
  <si>
    <t>2.11.10</t>
  </si>
  <si>
    <t>Analog SAP</t>
  </si>
  <si>
    <t>A. Kronus</t>
  </si>
  <si>
    <t>Ablaufdatum</t>
  </si>
  <si>
    <t>Datum und Grund für Conditional Approval eingefügt</t>
  </si>
  <si>
    <t>Begründung für bedingte Freigabe:</t>
  </si>
  <si>
    <t>Justification for conditional release:</t>
  </si>
  <si>
    <t>Conditions</t>
  </si>
  <si>
    <t>DBP - Directed buy parts</t>
  </si>
  <si>
    <t>LT - Limited time</t>
  </si>
  <si>
    <t>PR - Project restricted</t>
  </si>
  <si>
    <t>SA - Special approval</t>
  </si>
  <si>
    <t>PT - only for Prototypes</t>
  </si>
  <si>
    <t>LT - Zeitlich begrenzt</t>
  </si>
  <si>
    <t>PR - Projekt eingeschränkt</t>
  </si>
  <si>
    <t>SA - Sondergenehmigung</t>
  </si>
  <si>
    <t>PT - nur für Prototypen</t>
  </si>
  <si>
    <t>DBP - Directed buy Teile</t>
  </si>
  <si>
    <t>Sind Sie für den Projekt Management Service (APQP) in SupplyOn für andere Kunden registriert?</t>
  </si>
  <si>
    <t>Wir bestätigen, im Auftragsfall, APQP über den SupplyOn-Service Projekt Management (ProMa) dürchzuführen.</t>
  </si>
  <si>
    <t>In the case of an order, we confirm that APQP will be carried out via SupplyOn-Service Project Management (ProMa).</t>
  </si>
  <si>
    <t>SupplyOn Plattform</t>
  </si>
  <si>
    <t>Registriert:</t>
  </si>
  <si>
    <t>Nutzt ProMa:</t>
  </si>
  <si>
    <t>Wird ProMa nutzen:</t>
  </si>
  <si>
    <t>Registered:</t>
  </si>
  <si>
    <t>Will use ProMa:</t>
  </si>
  <si>
    <t>2.11.11</t>
  </si>
  <si>
    <t>SupplyOn Abfragen für VC1 in Approval gespiegelt</t>
  </si>
  <si>
    <t>Zeile 44</t>
  </si>
  <si>
    <t>Uses ProMa:</t>
  </si>
  <si>
    <t>TCISB009</t>
  </si>
  <si>
    <t>Service-Serie, Verpacken, Belabelung, Sortierarbeiten</t>
  </si>
  <si>
    <t>2.11.12</t>
  </si>
  <si>
    <t>Technologieklassen aktuallisiert</t>
  </si>
  <si>
    <t>TCISB009 hinzu</t>
  </si>
  <si>
    <t>Regional Information Security Expert (RISE) / Regional Information Security Representative (RISR) / Cyber Security Board (CSB)</t>
  </si>
  <si>
    <t>RISE hintzgefügt</t>
  </si>
  <si>
    <t>Information Security</t>
  </si>
  <si>
    <t>2.11.13</t>
  </si>
  <si>
    <t>3 - Low Risk</t>
  </si>
  <si>
    <t>Cyber security categorie 3 entfallen</t>
  </si>
  <si>
    <t>Normal Risk</t>
  </si>
  <si>
    <t>A Company Profile</t>
  </si>
  <si>
    <t>Format korrekturen (Standard =&gt; Text)</t>
  </si>
  <si>
    <t>Telefonnr., VAT etc.</t>
  </si>
  <si>
    <t>South Korea</t>
  </si>
  <si>
    <t>Fiji</t>
  </si>
  <si>
    <t>Guinea-Bissau</t>
  </si>
  <si>
    <t>North Korea</t>
  </si>
  <si>
    <t>M. Wippermann</t>
  </si>
  <si>
    <t>CPI-Index 2022 eingepflegt</t>
  </si>
  <si>
    <t>Registerkarte umbenannt</t>
  </si>
  <si>
    <t>Der Lieferant soll in folgendem SAP System genutzt werden:</t>
  </si>
  <si>
    <t>The supplier is to be used in the following SAP system:</t>
  </si>
  <si>
    <t>Zeile 5 / Dropdown</t>
  </si>
  <si>
    <t>SAP systems</t>
  </si>
  <si>
    <t>PAM</t>
  </si>
  <si>
    <t>PAP</t>
  </si>
  <si>
    <t>PEU</t>
  </si>
  <si>
    <t>SP9</t>
  </si>
  <si>
    <t>HZP</t>
  </si>
  <si>
    <t>JPN</t>
  </si>
  <si>
    <r>
      <t xml:space="preserve">After setting the language, please choose the correct vendor class, the technologie class(es) and question for Lab's, for which the supplier should be released. This must be done in the following tab 'F Supplier Approval Form' in area B. For TC fields that are not occupied, please select "No further TC".
(You can find the definition of vendor classes in P.PU.038.An.01 - For the latest version, please look in B-Search)
</t>
    </r>
    <r>
      <rPr>
        <sz val="8"/>
        <rFont val="Arial"/>
        <family val="2"/>
      </rPr>
      <t xml:space="preserve">**Note: If you change the language afterwards, all dropdown fields must be selected again.** </t>
    </r>
  </si>
  <si>
    <t>In order to save time and avoid confusion, the BENTELER buyer 
shall select the language of the supplier (English and German are currently available). This must be done in the following tab 'F Supplier Approval Form' in column A1 (in the corner top left).</t>
  </si>
  <si>
    <t>For next, please select the correct cybersecurity category. This must be choosen in the 'F Supplier Approval Form' tab, area C, cell G32.
(You can find the technologie class related Cyber Security Category in BS.PU.002.An.01 - For the latest version, please look in B-Search)</t>
  </si>
  <si>
    <t>Um Missverständnisse mit dem Lieferanten zumeiden und Zeit zu sparen, sollte der Einkäufer die entsprechende Sprache des Lieferanten auswählen (Englisch und Deutsch sind zur zeit wählbar). Dies muss im Tab 'F Supplier Approval Form' in Spalte A1 eingestellt werden (siehe linke Ecke oben).</t>
  </si>
  <si>
    <r>
      <t xml:space="preserve">Nachdem Sie die Sprache eingestellt haben, wählen Sie bitte die korrekte Lieferantenklasse, die Technologieklasse(n) aus und die Frage zu Laboren, für welche der Lieferant freigegeben werden soll. Dies muss im Tab 'F Supplier Approval Form', Bereich B eingestellt werden. Für nicht belegte TC-Felder wählen Sie bitte "Keine weitere TC" aus.
(Die Definitionen der Lieferantenklasse, finden Sie in P.PU.038.An.01 - Die aktuellste Version, finden Sie im B-Search)
</t>
    </r>
    <r>
      <rPr>
        <sz val="8"/>
        <rFont val="Arial"/>
        <family val="2"/>
      </rPr>
      <t xml:space="preserve">**Anmerkung: Wenn Sie die Sprache nachträglich ändern, müssen alle Auswahlfelder erneut augewählt werden.** </t>
    </r>
  </si>
  <si>
    <t>Wählen Sie bitte als nächstes die korrekte Cybersicherheits-kategorie aus. Dies muss im Tab 'F Supplier Approval Form', Bereich C, Zelle G32 ausgewählt werden.
(Die technologieklassenabhängige Cybersicherheitskategorie, finden Sie in BS.PU.002.An.01 - Die aktuellste Version, finden Sie im B-Search)</t>
  </si>
  <si>
    <t>Registerkartenbenennung angepasst</t>
  </si>
  <si>
    <t>F Supplier Approval Form</t>
  </si>
  <si>
    <t>SAP System Auswahl eingebracht</t>
  </si>
  <si>
    <t>3.2.1</t>
  </si>
  <si>
    <t>Bezeichnung EDI Connection ergänzt</t>
  </si>
  <si>
    <t>(DELINS und DESADV)</t>
  </si>
  <si>
    <t>EDI Verbindung vorhanden? (DELINS und DESADV)</t>
  </si>
  <si>
    <t>3.2.2</t>
  </si>
  <si>
    <t>Everstream Pre-assessment hinzu</t>
  </si>
  <si>
    <t>I. Jurakova</t>
  </si>
  <si>
    <t>Neue Zeile 45</t>
  </si>
  <si>
    <t>Prüfung der Risikovorabbewertung in Everstream Analytics durchgeführt</t>
  </si>
  <si>
    <t>Formel in Zelle C66:N66 mit M45 ergänzt</t>
  </si>
  <si>
    <t>CPI-Index 2023 eingepflegt</t>
  </si>
  <si>
    <t>3.2.3</t>
  </si>
  <si>
    <t>Risk pre-assessment check in Everstream Analytics conducted</t>
  </si>
  <si>
    <t>Czech Republic</t>
  </si>
  <si>
    <t>Cape Verde</t>
  </si>
  <si>
    <t>Democratic Republic
of the Congo</t>
  </si>
  <si>
    <t>Ivory Coast</t>
  </si>
  <si>
    <t>São Tomé and Príncipe</t>
  </si>
  <si>
    <t>St. Lucia</t>
  </si>
  <si>
    <t>St. Vincent and the Grenadines</t>
  </si>
  <si>
    <t>The Netherlands</t>
  </si>
  <si>
    <t>CPI Score (2023)</t>
  </si>
  <si>
    <t>EDI Connection available? (DELINS and DESADV)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</si>
</sst>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yyyy\-mm\-dd;@"/>
    <numFmt numFmtId="166" formatCode="yyyy\-mm\-dd"/>
    <numFmt numFmtId="167" formatCode="#,##0\ &quot;€&quot;"/>
  </numFmts>
  <fonts count="50">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1"/>
      <name val="Arial"/>
      <family val="2"/>
    </font>
    <font>
      <b/>
      <sz val="11"/>
      <name val="Arial"/>
      <family val="2"/>
    </font>
    <font>
      <b/>
      <sz val="10"/>
      <name val="Arial"/>
      <family val="2"/>
    </font>
    <font>
      <sz val="9"/>
      <name val="Arial"/>
      <family val="2"/>
    </font>
    <font>
      <sz val="9"/>
      <name val="Arial"/>
      <family val="2"/>
    </font>
    <font>
      <sz val="10"/>
      <name val="Arial"/>
      <family val="2"/>
    </font>
    <font>
      <b/>
      <sz val="9"/>
      <name val="Arial"/>
      <family val="2"/>
    </font>
    <font>
      <b/>
      <sz val="11"/>
      <color indexed="8"/>
      <name val="Arial"/>
      <family val="2"/>
    </font>
    <font>
      <i/>
      <sz val="10"/>
      <name val="Arial"/>
      <family val="2"/>
    </font>
    <font>
      <sz val="10"/>
      <color indexed="8"/>
      <name val="Arial"/>
      <family val="2"/>
    </font>
    <font>
      <sz val="9"/>
      <color indexed="8"/>
      <name val="Arial"/>
      <family val="2"/>
    </font>
    <font>
      <sz val="10"/>
      <name val="Arial"/>
      <family val="2"/>
    </font>
    <font>
      <b/>
      <sz val="12"/>
      <name val="Arial"/>
      <family val="2"/>
    </font>
    <font>
      <sz val="12"/>
      <name val="Arial"/>
      <family val="2"/>
    </font>
    <font>
      <b/>
      <i/>
      <sz val="18"/>
      <name val="Arial"/>
      <family val="2"/>
    </font>
    <font>
      <b/>
      <i/>
      <sz val="20"/>
      <name val="Arial"/>
      <family val="2"/>
    </font>
    <font>
      <b/>
      <sz val="9"/>
      <color indexed="8"/>
      <name val="Arial"/>
      <family val="2"/>
    </font>
    <font>
      <b/>
      <sz val="6"/>
      <name val="Arial"/>
      <family val="2"/>
    </font>
    <font>
      <sz val="10"/>
      <color rgb="FF000000"/>
      <name val="Arial"/>
      <family val="2"/>
    </font>
    <font>
      <sz val="10"/>
      <color rgb="FF222222"/>
      <name val="Arial"/>
      <family val="2"/>
    </font>
    <font>
      <b/>
      <sz val="20"/>
      <name val="Arial"/>
      <family val="2"/>
    </font>
    <font>
      <i/>
      <sz val="9"/>
      <color indexed="8"/>
      <name val="Arial"/>
      <family val="2"/>
    </font>
    <font>
      <i/>
      <sz val="9"/>
      <name val="Arial"/>
      <family val="2"/>
    </font>
    <font>
      <i/>
      <sz val="11"/>
      <name val="Arial"/>
      <family val="2"/>
    </font>
    <font>
      <sz val="6"/>
      <name val="Arial"/>
      <family val="2"/>
    </font>
    <font>
      <sz val="7"/>
      <name val="Arial"/>
      <family val="2"/>
    </font>
    <font>
      <b/>
      <sz val="8"/>
      <name val="Arial"/>
      <family val="2"/>
    </font>
    <font>
      <b/>
      <sz val="8"/>
      <color rgb="FF000000"/>
      <name val="Arial"/>
      <family val="2"/>
    </font>
    <font>
      <b/>
      <sz val="16"/>
      <name val="Arial"/>
      <family val="2"/>
    </font>
    <font>
      <b/>
      <sz val="12"/>
      <color rgb="FF0000FF"/>
      <name val="Arial"/>
      <family val="2"/>
    </font>
    <font>
      <b/>
      <sz val="12"/>
      <color theme="1"/>
      <name val="Arial"/>
      <family val="2"/>
    </font>
    <font>
      <b/>
      <sz val="10"/>
      <color theme="1"/>
      <name val="Arial"/>
      <family val="2"/>
    </font>
    <font>
      <sz val="10"/>
      <color rgb="FFFF0000"/>
      <name val="Arial"/>
      <family val="2"/>
    </font>
    <font>
      <b/>
      <sz val="8"/>
      <color rgb="FFFF0000"/>
      <name val="Arial"/>
      <family val="2"/>
    </font>
    <font>
      <b/>
      <sz val="26"/>
      <name val="Arial"/>
      <family val="2"/>
    </font>
    <font>
      <b/>
      <sz val="10"/>
      <color theme="0"/>
      <name val="Arial"/>
      <family val="2"/>
    </font>
    <font>
      <b/>
      <i/>
      <sz val="26"/>
      <color theme="3" tint="0.59999389629810485"/>
      <name val="Arial"/>
      <family val="2"/>
    </font>
    <font>
      <sz val="10"/>
      <color theme="0" tint="-0.499984740745262"/>
      <name val="Arial"/>
      <family val="2"/>
    </font>
    <font>
      <sz val="10"/>
      <color theme="0"/>
      <name val="Arial"/>
      <family val="2"/>
    </font>
    <font>
      <sz val="8"/>
      <name val="Arial"/>
      <family val="2"/>
    </font>
    <font>
      <sz val="9"/>
      <color theme="0"/>
      <name val="Arial"/>
      <family val="2"/>
    </font>
    <font>
      <sz val="8"/>
      <color theme="0"/>
      <name val="Arial"/>
      <family val="2"/>
    </font>
    <font>
      <b/>
      <sz val="8"/>
      <color theme="0"/>
      <name val="Arial"/>
      <family val="2"/>
    </font>
  </fonts>
  <fills count="14">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0000"/>
        <bgColor indexed="64"/>
      </patternFill>
    </fill>
    <fill>
      <patternFill patternType="solid">
        <fgColor theme="0" tint="-0.499984740745262"/>
        <bgColor indexed="64"/>
      </patternFill>
    </fill>
    <fill>
      <patternFill patternType="solid">
        <fgColor rgb="FF92D050"/>
        <bgColor indexed="64"/>
      </patternFill>
    </fill>
    <fill>
      <patternFill patternType="solid">
        <fgColor rgb="FFFFFF00"/>
        <bgColor indexed="64"/>
      </patternFill>
    </fill>
    <fill>
      <patternFill patternType="solid">
        <fgColor theme="2" tint="-9.9978637043366805E-2"/>
        <bgColor indexed="64"/>
      </patternFill>
    </fill>
  </fills>
  <borders count="12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thin">
        <color indexed="64"/>
      </right>
      <top/>
      <bottom/>
      <diagonal/>
    </border>
    <border>
      <left/>
      <right style="hair">
        <color indexed="64"/>
      </right>
      <top style="medium">
        <color indexed="64"/>
      </top>
      <bottom/>
      <diagonal/>
    </border>
    <border>
      <left/>
      <right style="hair">
        <color auto="1"/>
      </right>
      <top style="hair">
        <color auto="1"/>
      </top>
      <bottom style="hair">
        <color auto="1"/>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right/>
      <top style="thin">
        <color indexed="64"/>
      </top>
      <bottom style="dashed">
        <color indexed="64"/>
      </bottom>
      <diagonal/>
    </border>
  </borders>
  <cellStyleXfs count="5">
    <xf numFmtId="0" fontId="0" fillId="0" borderId="0"/>
    <xf numFmtId="9" fontId="18" fillId="0" borderId="0" applyFont="0" applyFill="0" applyBorder="0" applyAlignment="0" applyProtection="0"/>
    <xf numFmtId="0" fontId="5" fillId="0" borderId="0"/>
    <xf numFmtId="164" fontId="5" fillId="0" borderId="0"/>
    <xf numFmtId="0" fontId="5" fillId="0" borderId="0"/>
  </cellStyleXfs>
  <cellXfs count="1039">
    <xf numFmtId="0" fontId="0" fillId="0" borderId="0" xfId="0"/>
    <xf numFmtId="0" fontId="5" fillId="0" borderId="0" xfId="0" applyFont="1"/>
    <xf numFmtId="0" fontId="5" fillId="3" borderId="0" xfId="0" applyFont="1" applyFill="1"/>
    <xf numFmtId="0" fontId="0" fillId="3" borderId="0" xfId="0" applyFill="1"/>
    <xf numFmtId="0" fontId="5" fillId="0" borderId="0" xfId="0" applyFont="1" applyAlignment="1">
      <alignment vertical="justify"/>
    </xf>
    <xf numFmtId="0" fontId="5" fillId="0" borderId="0" xfId="0" applyFont="1" applyAlignment="1">
      <alignment wrapText="1"/>
    </xf>
    <xf numFmtId="0" fontId="5" fillId="0" borderId="0" xfId="2"/>
    <xf numFmtId="0" fontId="0" fillId="0" borderId="0" xfId="0"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0" xfId="0" quotePrefix="1" applyFont="1"/>
    <xf numFmtId="0" fontId="5" fillId="0" borderId="0" xfId="0" applyFont="1" applyAlignment="1">
      <alignment horizontal="left" vertical="top" wrapText="1"/>
    </xf>
    <xf numFmtId="0" fontId="0" fillId="0" borderId="0" xfId="0" quotePrefix="1"/>
    <xf numFmtId="0" fontId="5" fillId="0" borderId="0" xfId="0" applyFont="1" applyAlignment="1">
      <alignment horizontal="left" vertical="center"/>
    </xf>
    <xf numFmtId="0" fontId="26"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wrapText="1"/>
    </xf>
    <xf numFmtId="0" fontId="5" fillId="0" borderId="0" xfId="0" quotePrefix="1" applyFont="1" applyAlignment="1">
      <alignment vertical="justify"/>
    </xf>
    <xf numFmtId="0" fontId="5" fillId="0" borderId="0" xfId="0" applyFont="1" applyAlignment="1">
      <alignment vertical="justify" wrapText="1"/>
    </xf>
    <xf numFmtId="0" fontId="5" fillId="0" borderId="0" xfId="0" applyFont="1" applyAlignment="1">
      <alignment horizontal="left" vertical="center" wrapText="1"/>
    </xf>
    <xf numFmtId="0" fontId="5" fillId="0" borderId="0" xfId="0" applyFont="1" applyAlignment="1" applyProtection="1">
      <alignment wrapText="1"/>
      <protection locked="0"/>
    </xf>
    <xf numFmtId="0" fontId="16" fillId="0" borderId="0" xfId="0" applyFont="1"/>
    <xf numFmtId="0" fontId="10" fillId="0" borderId="0" xfId="0" applyFont="1" applyAlignment="1">
      <alignment vertical="center"/>
    </xf>
    <xf numFmtId="0" fontId="10" fillId="0" borderId="0" xfId="0" applyFont="1" applyAlignment="1">
      <alignment vertical="center" wrapText="1"/>
    </xf>
    <xf numFmtId="0" fontId="0" fillId="0" borderId="38" xfId="0" applyBorder="1"/>
    <xf numFmtId="0" fontId="21" fillId="0" borderId="29" xfId="0" applyFont="1" applyBorder="1" applyAlignment="1">
      <alignment horizontal="center" vertical="center"/>
    </xf>
    <xf numFmtId="0" fontId="0" fillId="0" borderId="29" xfId="0" applyBorder="1"/>
    <xf numFmtId="0" fontId="8" fillId="3" borderId="15" xfId="0" applyFont="1" applyFill="1" applyBorder="1" applyAlignment="1">
      <alignment horizontal="center" vertical="center"/>
    </xf>
    <xf numFmtId="0" fontId="5" fillId="3" borderId="24" xfId="0" applyFont="1" applyFill="1" applyBorder="1" applyAlignment="1">
      <alignment vertical="center" wrapText="1"/>
    </xf>
    <xf numFmtId="0" fontId="10" fillId="0" borderId="0" xfId="0" applyFont="1"/>
    <xf numFmtId="0" fontId="9" fillId="0" borderId="50" xfId="0" applyFont="1" applyBorder="1" applyAlignment="1">
      <alignment horizontal="center" vertical="center" wrapText="1"/>
    </xf>
    <xf numFmtId="0" fontId="9" fillId="0" borderId="63" xfId="0" applyFont="1" applyBorder="1" applyAlignment="1">
      <alignment horizontal="center" vertical="center" wrapText="1"/>
    </xf>
    <xf numFmtId="0" fontId="8" fillId="3" borderId="31" xfId="0" applyFont="1" applyFill="1" applyBorder="1" applyAlignment="1">
      <alignment horizontal="center" vertical="center"/>
    </xf>
    <xf numFmtId="0" fontId="0" fillId="0" borderId="0" xfId="0" applyAlignment="1">
      <alignment vertical="center"/>
    </xf>
    <xf numFmtId="0" fontId="5" fillId="0" borderId="1" xfId="0" quotePrefix="1" applyFont="1" applyBorder="1" applyAlignment="1">
      <alignment horizontal="center" vertical="center" wrapText="1"/>
    </xf>
    <xf numFmtId="0" fontId="5" fillId="0" borderId="6" xfId="0" quotePrefix="1" applyFont="1" applyBorder="1" applyAlignment="1">
      <alignment horizontal="center" vertical="center" wrapText="1"/>
    </xf>
    <xf numFmtId="0" fontId="5" fillId="0" borderId="7" xfId="0" quotePrefix="1"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0" fillId="2" borderId="0" xfId="0" applyFill="1"/>
    <xf numFmtId="0" fontId="22" fillId="4" borderId="29" xfId="0" applyFont="1" applyFill="1" applyBorder="1" applyAlignment="1">
      <alignment horizontal="center" vertical="center"/>
    </xf>
    <xf numFmtId="0" fontId="19" fillId="3" borderId="31" xfId="0" applyFont="1" applyFill="1" applyBorder="1"/>
    <xf numFmtId="0" fontId="7" fillId="2" borderId="0" xfId="0" applyFont="1" applyFill="1"/>
    <xf numFmtId="0" fontId="8" fillId="4" borderId="15" xfId="0" applyFont="1" applyFill="1" applyBorder="1"/>
    <xf numFmtId="0" fontId="12" fillId="4" borderId="29" xfId="0" applyFont="1" applyFill="1" applyBorder="1"/>
    <xf numFmtId="0" fontId="12" fillId="4" borderId="30" xfId="0" applyFont="1" applyFill="1" applyBorder="1"/>
    <xf numFmtId="0" fontId="10" fillId="4" borderId="18" xfId="0" applyFont="1" applyFill="1" applyBorder="1"/>
    <xf numFmtId="0" fontId="12" fillId="4" borderId="0" xfId="0" applyFont="1" applyFill="1"/>
    <xf numFmtId="0" fontId="12" fillId="4" borderId="54" xfId="0" applyFont="1" applyFill="1" applyBorder="1"/>
    <xf numFmtId="0" fontId="5" fillId="4" borderId="0" xfId="0" applyFont="1" applyFill="1" applyAlignment="1">
      <alignment vertical="top"/>
    </xf>
    <xf numFmtId="0" fontId="22" fillId="0" borderId="38" xfId="0" applyFont="1" applyBorder="1" applyAlignment="1">
      <alignment vertical="center"/>
    </xf>
    <xf numFmtId="0" fontId="22" fillId="0" borderId="37" xfId="0" applyFont="1" applyBorder="1" applyAlignment="1">
      <alignment horizontal="center" vertical="center"/>
    </xf>
    <xf numFmtId="0" fontId="10" fillId="0" borderId="0" xfId="0" applyFont="1" applyAlignment="1">
      <alignment horizontal="left"/>
    </xf>
    <xf numFmtId="0" fontId="23" fillId="0" borderId="1" xfId="0" applyFont="1" applyBorder="1" applyAlignment="1">
      <alignment horizontal="center"/>
    </xf>
    <xf numFmtId="0" fontId="10" fillId="0" borderId="0" xfId="0" applyFont="1" applyAlignment="1">
      <alignment horizontal="center"/>
    </xf>
    <xf numFmtId="0" fontId="13" fillId="0" borderId="1" xfId="0" applyFont="1" applyBorder="1" applyAlignment="1">
      <alignment horizontal="center"/>
    </xf>
    <xf numFmtId="0" fontId="24" fillId="0" borderId="36" xfId="0" applyFont="1" applyBorder="1" applyAlignment="1">
      <alignment horizontal="center"/>
    </xf>
    <xf numFmtId="0" fontId="24" fillId="0" borderId="35" xfId="0" applyFont="1" applyBorder="1" applyAlignment="1">
      <alignment horizontal="center"/>
    </xf>
    <xf numFmtId="0" fontId="13" fillId="0" borderId="2" xfId="0" applyFont="1" applyBorder="1" applyAlignment="1">
      <alignment horizontal="center"/>
    </xf>
    <xf numFmtId="0" fontId="17" fillId="0" borderId="0" xfId="0" applyFont="1" applyAlignment="1">
      <alignment vertical="top"/>
    </xf>
    <xf numFmtId="0" fontId="8" fillId="0" borderId="0" xfId="0" applyFont="1"/>
    <xf numFmtId="0" fontId="5" fillId="0" borderId="23" xfId="0" applyFont="1" applyBorder="1"/>
    <xf numFmtId="0" fontId="10" fillId="0" borderId="25" xfId="0" applyFont="1" applyBorder="1" applyAlignment="1">
      <alignment horizontal="center"/>
    </xf>
    <xf numFmtId="0" fontId="5" fillId="0" borderId="22" xfId="0" applyFont="1" applyBorder="1"/>
    <xf numFmtId="0" fontId="10" fillId="0" borderId="28" xfId="0" applyFont="1" applyBorder="1" applyAlignment="1">
      <alignment horizontal="center"/>
    </xf>
    <xf numFmtId="0" fontId="10" fillId="0" borderId="43" xfId="0" applyFont="1" applyBorder="1" applyAlignment="1">
      <alignment horizontal="center"/>
    </xf>
    <xf numFmtId="0" fontId="10" fillId="0" borderId="6" xfId="0" applyFont="1" applyBorder="1" applyAlignment="1" applyProtection="1">
      <alignment horizontal="center"/>
      <protection locked="0"/>
    </xf>
    <xf numFmtId="0" fontId="10" fillId="0" borderId="26"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41" xfId="0" applyFont="1" applyBorder="1" applyAlignment="1" applyProtection="1">
      <alignment horizontal="center"/>
      <protection locked="0"/>
    </xf>
    <xf numFmtId="0" fontId="5" fillId="0" borderId="0" xfId="2" applyAlignment="1">
      <alignment vertical="top"/>
    </xf>
    <xf numFmtId="0" fontId="8" fillId="0" borderId="0" xfId="2" applyFont="1" applyAlignment="1">
      <alignment horizontal="center" vertical="top"/>
    </xf>
    <xf numFmtId="0" fontId="9" fillId="0" borderId="0" xfId="2" applyFont="1" applyAlignment="1">
      <alignment vertical="top" wrapText="1"/>
    </xf>
    <xf numFmtId="0" fontId="5" fillId="0" borderId="0" xfId="2" applyAlignment="1">
      <alignment vertical="top" wrapText="1"/>
    </xf>
    <xf numFmtId="0" fontId="5" fillId="0" borderId="0" xfId="2" applyAlignment="1">
      <alignment vertical="center" wrapText="1"/>
    </xf>
    <xf numFmtId="0" fontId="5" fillId="0" borderId="0" xfId="2" applyAlignment="1">
      <alignment horizontal="center" vertical="top"/>
    </xf>
    <xf numFmtId="0" fontId="5" fillId="0" borderId="0" xfId="2" applyAlignment="1">
      <alignment vertical="center"/>
    </xf>
    <xf numFmtId="0" fontId="15" fillId="0" borderId="0" xfId="0" applyFont="1" applyAlignment="1">
      <alignment horizontal="left"/>
    </xf>
    <xf numFmtId="0" fontId="19" fillId="0" borderId="0" xfId="0" applyFont="1" applyAlignment="1">
      <alignment horizontal="left"/>
    </xf>
    <xf numFmtId="0" fontId="8" fillId="3" borderId="31" xfId="2" quotePrefix="1" applyFont="1" applyFill="1" applyBorder="1" applyAlignment="1">
      <alignment horizontal="center" vertical="center"/>
    </xf>
    <xf numFmtId="0" fontId="8" fillId="3" borderId="31" xfId="2" applyFont="1" applyFill="1" applyBorder="1" applyAlignment="1">
      <alignment horizontal="center" vertical="center"/>
    </xf>
    <xf numFmtId="0" fontId="11" fillId="0" borderId="0" xfId="0" applyFont="1"/>
    <xf numFmtId="0" fontId="11" fillId="0" borderId="0" xfId="0" applyFont="1" applyAlignment="1">
      <alignment vertical="top"/>
    </xf>
    <xf numFmtId="16" fontId="5" fillId="0" borderId="57" xfId="2" quotePrefix="1" applyNumberFormat="1" applyBorder="1" applyAlignment="1">
      <alignment horizontal="center" vertical="top"/>
    </xf>
    <xf numFmtId="16" fontId="5" fillId="0" borderId="27" xfId="2" quotePrefix="1" applyNumberFormat="1" applyBorder="1" applyAlignment="1">
      <alignment horizontal="center" vertical="top"/>
    </xf>
    <xf numFmtId="0" fontId="5" fillId="0" borderId="57" xfId="2" quotePrefix="1" applyBorder="1" applyAlignment="1">
      <alignment horizontal="center" vertical="top"/>
    </xf>
    <xf numFmtId="0" fontId="5" fillId="0" borderId="27" xfId="2" quotePrefix="1" applyBorder="1" applyAlignment="1">
      <alignment horizontal="center" vertical="top"/>
    </xf>
    <xf numFmtId="0" fontId="5" fillId="0" borderId="64" xfId="2" quotePrefix="1" applyBorder="1" applyAlignment="1">
      <alignment horizontal="center" vertical="top"/>
    </xf>
    <xf numFmtId="0" fontId="12" fillId="0" borderId="0" xfId="0" quotePrefix="1" applyFont="1" applyAlignment="1">
      <alignment horizontal="center" vertical="top"/>
    </xf>
    <xf numFmtId="0" fontId="12" fillId="0" borderId="0" xfId="0" applyFont="1" applyAlignment="1">
      <alignment horizontal="left" vertical="top" wrapText="1"/>
    </xf>
    <xf numFmtId="0" fontId="12" fillId="0" borderId="40" xfId="0" applyFont="1" applyBorder="1" applyAlignment="1">
      <alignment vertical="top" wrapText="1"/>
    </xf>
    <xf numFmtId="0" fontId="9" fillId="0" borderId="0" xfId="0" applyFont="1" applyAlignment="1">
      <alignment vertical="top" wrapText="1"/>
    </xf>
    <xf numFmtId="0" fontId="5" fillId="0" borderId="59" xfId="2" quotePrefix="1" applyBorder="1" applyAlignment="1">
      <alignment horizontal="center" vertical="top"/>
    </xf>
    <xf numFmtId="0" fontId="11" fillId="4" borderId="0" xfId="0" applyFont="1" applyFill="1"/>
    <xf numFmtId="16" fontId="5" fillId="0" borderId="59" xfId="2" quotePrefix="1" applyNumberFormat="1" applyBorder="1" applyAlignment="1">
      <alignment horizontal="center" vertical="top"/>
    </xf>
    <xf numFmtId="0" fontId="12" fillId="0" borderId="0" xfId="0" applyFont="1" applyAlignment="1">
      <alignment horizontal="center" vertical="top"/>
    </xf>
    <xf numFmtId="0" fontId="5" fillId="0" borderId="64" xfId="2" applyBorder="1" applyAlignment="1">
      <alignment horizontal="center" vertical="top"/>
    </xf>
    <xf numFmtId="16" fontId="5" fillId="0" borderId="64" xfId="2" quotePrefix="1" applyNumberFormat="1" applyBorder="1" applyAlignment="1">
      <alignment horizontal="center" vertical="top"/>
    </xf>
    <xf numFmtId="16" fontId="5" fillId="0" borderId="0" xfId="2" quotePrefix="1" applyNumberFormat="1" applyAlignment="1">
      <alignment horizontal="center" vertical="top"/>
    </xf>
    <xf numFmtId="0" fontId="5" fillId="0" borderId="0" xfId="2" applyAlignment="1">
      <alignment horizontal="left" vertical="top" wrapText="1"/>
    </xf>
    <xf numFmtId="0" fontId="9" fillId="3" borderId="37" xfId="2" applyFont="1" applyFill="1" applyBorder="1" applyAlignment="1">
      <alignment vertical="top" wrapText="1"/>
    </xf>
    <xf numFmtId="0" fontId="9" fillId="3" borderId="38" xfId="2" applyFont="1" applyFill="1" applyBorder="1" applyAlignment="1">
      <alignment vertical="top" wrapText="1"/>
    </xf>
    <xf numFmtId="16" fontId="5" fillId="0" borderId="68" xfId="2" quotePrefix="1" applyNumberFormat="1" applyBorder="1" applyAlignment="1">
      <alignment horizontal="center" vertical="top"/>
    </xf>
    <xf numFmtId="16" fontId="5" fillId="0" borderId="32" xfId="2" quotePrefix="1" applyNumberFormat="1" applyBorder="1" applyAlignment="1">
      <alignment horizontal="center" vertical="top"/>
    </xf>
    <xf numFmtId="0" fontId="5" fillId="0" borderId="0" xfId="2" quotePrefix="1" applyAlignment="1">
      <alignment horizontal="center"/>
    </xf>
    <xf numFmtId="0" fontId="0" fillId="0" borderId="5" xfId="0" applyBorder="1" applyAlignment="1">
      <alignment vertical="top"/>
    </xf>
    <xf numFmtId="0" fontId="5" fillId="0" borderId="5" xfId="2" applyBorder="1" applyAlignment="1" applyProtection="1">
      <alignment horizontal="center" vertical="center" wrapText="1"/>
      <protection locked="0"/>
    </xf>
    <xf numFmtId="0" fontId="10" fillId="0" borderId="22" xfId="0" applyFont="1" applyBorder="1" applyAlignment="1" applyProtection="1">
      <alignment horizontal="left"/>
      <protection locked="0"/>
    </xf>
    <xf numFmtId="0" fontId="10" fillId="0" borderId="35" xfId="0" applyFont="1" applyBorder="1" applyAlignment="1" applyProtection="1">
      <alignment horizontal="center"/>
      <protection locked="0"/>
    </xf>
    <xf numFmtId="0" fontId="10" fillId="0" borderId="39" xfId="0" applyFont="1" applyBorder="1" applyAlignment="1" applyProtection="1">
      <alignment horizontal="left"/>
      <protection locked="0"/>
    </xf>
    <xf numFmtId="0" fontId="8" fillId="3" borderId="1" xfId="2" applyFont="1" applyFill="1" applyBorder="1" applyAlignment="1">
      <alignment horizontal="center" vertical="top" wrapText="1"/>
    </xf>
    <xf numFmtId="0" fontId="12" fillId="0" borderId="13" xfId="0" applyFont="1" applyBorder="1" applyAlignment="1">
      <alignment vertical="top" wrapText="1"/>
    </xf>
    <xf numFmtId="0" fontId="5" fillId="0" borderId="34" xfId="2" applyBorder="1" applyAlignment="1" applyProtection="1">
      <alignment horizontal="center" vertical="center" wrapText="1"/>
      <protection locked="0"/>
    </xf>
    <xf numFmtId="0" fontId="9" fillId="0" borderId="0" xfId="0" applyFont="1" applyAlignment="1">
      <alignment horizontal="right" vertical="center" wrapText="1"/>
    </xf>
    <xf numFmtId="0" fontId="13" fillId="0" borderId="0" xfId="0" applyFont="1" applyAlignment="1">
      <alignment horizontal="center" vertical="center"/>
    </xf>
    <xf numFmtId="0" fontId="8" fillId="0" borderId="0" xfId="0" applyFont="1" applyAlignment="1">
      <alignment horizontal="right" vertical="center" wrapText="1"/>
    </xf>
    <xf numFmtId="0" fontId="6" fillId="0" borderId="32" xfId="0" applyFont="1" applyBorder="1" applyAlignment="1">
      <alignment horizontal="center" vertical="center" wrapText="1"/>
    </xf>
    <xf numFmtId="0" fontId="9" fillId="0" borderId="0" xfId="0" applyFont="1" applyAlignment="1">
      <alignment horizontal="center" vertical="center"/>
    </xf>
    <xf numFmtId="0" fontId="5" fillId="0" borderId="69" xfId="0" applyFont="1" applyBorder="1" applyAlignment="1">
      <alignment horizontal="center" vertical="center" wrapText="1"/>
    </xf>
    <xf numFmtId="0" fontId="17" fillId="0" borderId="6" xfId="0" applyFont="1" applyBorder="1" applyAlignment="1" applyProtection="1">
      <alignment horizontal="center"/>
      <protection locked="0"/>
    </xf>
    <xf numFmtId="0" fontId="17" fillId="0" borderId="7" xfId="0" applyFont="1" applyBorder="1" applyAlignment="1" applyProtection="1">
      <alignment horizontal="center"/>
      <protection locked="0"/>
    </xf>
    <xf numFmtId="0" fontId="10" fillId="0" borderId="5" xfId="0" applyFont="1" applyBorder="1" applyAlignment="1" applyProtection="1">
      <alignment horizontal="center"/>
      <protection locked="0"/>
    </xf>
    <xf numFmtId="0" fontId="10" fillId="0" borderId="34" xfId="0" applyFont="1" applyBorder="1" applyAlignment="1" applyProtection="1">
      <alignment horizontal="center"/>
      <protection locked="0"/>
    </xf>
    <xf numFmtId="0" fontId="10" fillId="0" borderId="3" xfId="0" applyFont="1" applyBorder="1" applyAlignment="1" applyProtection="1">
      <alignment horizontal="left" wrapText="1"/>
      <protection locked="0"/>
    </xf>
    <xf numFmtId="0" fontId="10" fillId="0" borderId="4" xfId="0" applyFont="1" applyBorder="1" applyAlignment="1" applyProtection="1">
      <alignment horizontal="left" wrapText="1"/>
      <protection locked="0"/>
    </xf>
    <xf numFmtId="0" fontId="0" fillId="0" borderId="5"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0" xfId="0" applyAlignment="1">
      <alignment horizontal="left" vertical="top" wrapText="1"/>
    </xf>
    <xf numFmtId="0" fontId="0" fillId="0" borderId="0" xfId="0" applyAlignment="1">
      <alignment vertical="top"/>
    </xf>
    <xf numFmtId="0" fontId="0" fillId="0" borderId="89" xfId="0" applyBorder="1"/>
    <xf numFmtId="0" fontId="0" fillId="0" borderId="82" xfId="0" applyBorder="1"/>
    <xf numFmtId="0" fontId="0" fillId="0" borderId="90" xfId="0" applyBorder="1"/>
    <xf numFmtId="0" fontId="9" fillId="6" borderId="7" xfId="0" applyFont="1" applyFill="1" applyBorder="1"/>
    <xf numFmtId="0" fontId="9" fillId="6" borderId="34" xfId="0" applyFont="1" applyFill="1" applyBorder="1"/>
    <xf numFmtId="0" fontId="9" fillId="6" borderId="4" xfId="0" applyFont="1" applyFill="1" applyBorder="1"/>
    <xf numFmtId="0" fontId="0" fillId="0" borderId="88" xfId="0" applyBorder="1" applyAlignment="1">
      <alignment vertical="top" wrapText="1"/>
    </xf>
    <xf numFmtId="14" fontId="0" fillId="0" borderId="87" xfId="0" applyNumberFormat="1" applyBorder="1" applyAlignment="1">
      <alignment vertical="top"/>
    </xf>
    <xf numFmtId="0" fontId="5" fillId="0" borderId="76" xfId="0" quotePrefix="1" applyFont="1" applyBorder="1" applyAlignment="1">
      <alignment vertical="top" wrapText="1"/>
    </xf>
    <xf numFmtId="0" fontId="12" fillId="0" borderId="0" xfId="0" applyFont="1" applyAlignment="1">
      <alignment vertical="center" wrapText="1"/>
    </xf>
    <xf numFmtId="0" fontId="5" fillId="0" borderId="0" xfId="0" applyFont="1" applyAlignment="1">
      <alignment horizontal="center" vertical="center" wrapText="1"/>
    </xf>
    <xf numFmtId="0" fontId="0" fillId="4" borderId="0" xfId="0" applyFill="1"/>
    <xf numFmtId="0" fontId="31" fillId="4" borderId="0" xfId="0" applyFont="1" applyFill="1" applyAlignment="1">
      <alignment vertical="center"/>
    </xf>
    <xf numFmtId="0" fontId="33" fillId="4" borderId="0" xfId="0" applyFont="1" applyFill="1" applyAlignment="1">
      <alignment vertical="center"/>
    </xf>
    <xf numFmtId="0" fontId="24" fillId="4" borderId="0" xfId="0" applyFont="1" applyFill="1" applyAlignment="1">
      <alignment horizontal="justify" vertical="center"/>
    </xf>
    <xf numFmtId="0" fontId="33" fillId="4" borderId="36" xfId="0" applyFont="1" applyFill="1" applyBorder="1" applyAlignment="1">
      <alignment horizontal="left" vertical="center" wrapText="1"/>
    </xf>
    <xf numFmtId="0" fontId="9" fillId="4" borderId="5" xfId="0" applyFont="1" applyFill="1" applyBorder="1" applyAlignment="1">
      <alignment horizontal="center" vertical="center" wrapText="1"/>
    </xf>
    <xf numFmtId="0" fontId="35" fillId="4" borderId="0" xfId="0" applyFont="1" applyFill="1"/>
    <xf numFmtId="0" fontId="32" fillId="4" borderId="0" xfId="0" applyFont="1" applyFill="1" applyAlignment="1">
      <alignment vertical="center" wrapText="1"/>
    </xf>
    <xf numFmtId="0" fontId="31" fillId="4" borderId="0" xfId="0" applyFont="1" applyFill="1" applyAlignment="1">
      <alignment horizontal="center" vertical="center" wrapText="1"/>
    </xf>
    <xf numFmtId="0" fontId="34" fillId="4" borderId="0" xfId="0" applyFont="1" applyFill="1" applyAlignment="1">
      <alignment horizontal="center" vertical="center" wrapText="1" readingOrder="1"/>
    </xf>
    <xf numFmtId="0" fontId="33" fillId="4" borderId="6" xfId="0" applyFont="1" applyFill="1" applyBorder="1" applyAlignment="1">
      <alignment vertical="center" wrapText="1"/>
    </xf>
    <xf numFmtId="0" fontId="6" fillId="4" borderId="6" xfId="0" applyFont="1" applyFill="1" applyBorder="1" applyAlignment="1">
      <alignment horizontal="justify" vertical="center" wrapText="1"/>
    </xf>
    <xf numFmtId="0" fontId="9" fillId="4" borderId="0" xfId="0" applyFont="1" applyFill="1"/>
    <xf numFmtId="0" fontId="7" fillId="4" borderId="0" xfId="0" applyFont="1" applyFill="1" applyAlignment="1">
      <alignment horizontal="justify" vertical="center"/>
    </xf>
    <xf numFmtId="0" fontId="39" fillId="4" borderId="0" xfId="0" applyFont="1" applyFill="1"/>
    <xf numFmtId="0" fontId="5" fillId="4" borderId="0" xfId="0" applyFont="1" applyFill="1"/>
    <xf numFmtId="0" fontId="6" fillId="4" borderId="6" xfId="0" applyFont="1" applyFill="1" applyBorder="1" applyAlignment="1">
      <alignment vertical="center" wrapText="1"/>
    </xf>
    <xf numFmtId="9" fontId="0" fillId="0" borderId="0" xfId="0" applyNumberFormat="1" applyAlignment="1">
      <alignment horizontal="center" vertical="center"/>
    </xf>
    <xf numFmtId="0" fontId="0" fillId="4" borderId="0" xfId="0" applyFill="1" applyAlignment="1">
      <alignment vertical="center"/>
    </xf>
    <xf numFmtId="0" fontId="6" fillId="4" borderId="1" xfId="0" applyFont="1" applyFill="1" applyBorder="1" applyAlignment="1">
      <alignment vertical="center" wrapText="1"/>
    </xf>
    <xf numFmtId="0" fontId="6" fillId="4" borderId="7" xfId="0" applyFont="1" applyFill="1" applyBorder="1" applyAlignment="1">
      <alignment horizontal="left" vertical="center" wrapText="1"/>
    </xf>
    <xf numFmtId="0" fontId="0" fillId="4" borderId="2" xfId="0" applyFill="1" applyBorder="1"/>
    <xf numFmtId="0" fontId="5" fillId="4" borderId="36" xfId="0" applyFont="1" applyFill="1" applyBorder="1" applyAlignment="1">
      <alignment horizontal="right" vertical="center" wrapText="1"/>
    </xf>
    <xf numFmtId="0" fontId="5" fillId="4" borderId="35" xfId="0" applyFont="1" applyFill="1" applyBorder="1" applyAlignment="1" applyProtection="1">
      <alignment horizontal="center" vertical="center"/>
      <protection locked="0"/>
    </xf>
    <xf numFmtId="0" fontId="25" fillId="0" borderId="0" xfId="0" applyFont="1" applyAlignment="1">
      <alignment vertical="center" wrapText="1"/>
    </xf>
    <xf numFmtId="0" fontId="0" fillId="0" borderId="0" xfId="0" applyAlignment="1">
      <alignment horizontal="left" vertical="center"/>
    </xf>
    <xf numFmtId="0" fontId="6" fillId="4" borderId="6" xfId="0" applyFont="1" applyFill="1" applyBorder="1" applyAlignment="1">
      <alignment horizontal="right" vertical="center" wrapText="1"/>
    </xf>
    <xf numFmtId="0" fontId="9" fillId="5" borderId="72" xfId="0" applyFont="1" applyFill="1" applyBorder="1" applyAlignment="1">
      <alignment vertical="top" wrapText="1"/>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8" fillId="0" borderId="15" xfId="0" applyFont="1" applyBorder="1" applyAlignment="1">
      <alignment horizontal="center" vertical="top"/>
    </xf>
    <xf numFmtId="0" fontId="5" fillId="0" borderId="29" xfId="3" applyNumberFormat="1" applyBorder="1"/>
    <xf numFmtId="0" fontId="5" fillId="0" borderId="29" xfId="3" applyNumberFormat="1" applyBorder="1" applyAlignment="1">
      <alignment vertical="top"/>
    </xf>
    <xf numFmtId="0" fontId="5" fillId="0" borderId="29" xfId="0" applyFont="1" applyBorder="1" applyAlignment="1">
      <alignment horizontal="left" vertical="top"/>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8" fillId="0" borderId="18" xfId="0" applyFont="1" applyBorder="1" applyAlignment="1">
      <alignment horizontal="center" vertical="top"/>
    </xf>
    <xf numFmtId="0" fontId="5" fillId="0" borderId="0" xfId="3" applyNumberFormat="1"/>
    <xf numFmtId="0" fontId="5" fillId="0" borderId="0" xfId="3" applyNumberFormat="1" applyAlignment="1">
      <alignment vertical="top"/>
    </xf>
    <xf numFmtId="0" fontId="5" fillId="0" borderId="0" xfId="0" applyFont="1" applyAlignment="1">
      <alignment horizontal="center" vertical="center"/>
    </xf>
    <xf numFmtId="0" fontId="5" fillId="0" borderId="54" xfId="0" applyFont="1" applyBorder="1" applyAlignment="1">
      <alignment horizontal="center" vertical="center"/>
    </xf>
    <xf numFmtId="0" fontId="35" fillId="0" borderId="24" xfId="0" applyFont="1" applyBorder="1" applyAlignment="1">
      <alignment horizontal="center" vertical="center"/>
    </xf>
    <xf numFmtId="0" fontId="5" fillId="0" borderId="13" xfId="0" applyFont="1" applyBorder="1"/>
    <xf numFmtId="0" fontId="5" fillId="0" borderId="46" xfId="0" applyFont="1" applyBorder="1" applyAlignment="1">
      <alignment horizontal="center" vertical="center"/>
    </xf>
    <xf numFmtId="0" fontId="9" fillId="5" borderId="93" xfId="0" applyFont="1" applyFill="1" applyBorder="1" applyAlignment="1">
      <alignment horizontal="left" vertical="top" wrapText="1"/>
    </xf>
    <xf numFmtId="0" fontId="9" fillId="5" borderId="92" xfId="0" applyFont="1" applyFill="1" applyBorder="1" applyAlignment="1">
      <alignment horizontal="left" vertical="top"/>
    </xf>
    <xf numFmtId="0" fontId="5" fillId="0" borderId="60" xfId="0" applyFont="1" applyBorder="1" applyAlignment="1">
      <alignment horizontal="center" vertical="center" wrapText="1"/>
    </xf>
    <xf numFmtId="0" fontId="5" fillId="0" borderId="58" xfId="0" applyFont="1" applyBorder="1" applyAlignment="1">
      <alignment horizontal="center" vertical="center" wrapText="1"/>
    </xf>
    <xf numFmtId="0" fontId="12" fillId="0" borderId="58" xfId="0" applyFont="1" applyBorder="1" applyAlignment="1">
      <alignment horizontal="center" vertical="center" wrapText="1"/>
    </xf>
    <xf numFmtId="0" fontId="43" fillId="0" borderId="31" xfId="0" applyFont="1" applyBorder="1" applyAlignment="1" applyProtection="1">
      <alignment horizontal="center" vertical="center"/>
      <protection locked="0"/>
    </xf>
    <xf numFmtId="0" fontId="4" fillId="0" borderId="0" xfId="0" applyFont="1"/>
    <xf numFmtId="0" fontId="5" fillId="0" borderId="76" xfId="0" applyFont="1" applyBorder="1" applyAlignment="1">
      <alignment vertical="top"/>
    </xf>
    <xf numFmtId="49" fontId="5" fillId="0" borderId="76" xfId="0" applyNumberFormat="1" applyFont="1" applyBorder="1" applyAlignment="1">
      <alignment vertical="top" wrapText="1"/>
    </xf>
    <xf numFmtId="0" fontId="5" fillId="0" borderId="88" xfId="0" applyFont="1" applyBorder="1" applyAlignment="1">
      <alignment vertical="top"/>
    </xf>
    <xf numFmtId="0" fontId="0" fillId="0" borderId="76" xfId="0" applyBorder="1" applyAlignment="1">
      <alignment vertical="top"/>
    </xf>
    <xf numFmtId="0" fontId="12" fillId="0" borderId="95" xfId="0" applyFont="1" applyBorder="1" applyAlignment="1">
      <alignment horizontal="center" vertical="center" wrapText="1"/>
    </xf>
    <xf numFmtId="0" fontId="10" fillId="0" borderId="0" xfId="0" applyFont="1" applyAlignment="1">
      <alignment vertical="top"/>
    </xf>
    <xf numFmtId="0" fontId="20" fillId="0" borderId="0" xfId="0" applyFont="1" applyAlignment="1">
      <alignment horizontal="center" vertical="top"/>
    </xf>
    <xf numFmtId="0" fontId="5" fillId="0" borderId="98" xfId="0" applyFont="1" applyBorder="1" applyAlignment="1" applyProtection="1">
      <alignment horizontal="center" vertical="center" wrapText="1"/>
      <protection locked="0"/>
    </xf>
    <xf numFmtId="0" fontId="8" fillId="0" borderId="13" xfId="0" applyFont="1" applyBorder="1" applyAlignment="1">
      <alignment vertical="top"/>
    </xf>
    <xf numFmtId="0" fontId="15" fillId="2" borderId="0" xfId="0" applyFont="1" applyFill="1"/>
    <xf numFmtId="0" fontId="5" fillId="0" borderId="88" xfId="0" applyFont="1" applyBorder="1" applyAlignment="1">
      <alignment vertical="top" wrapText="1"/>
    </xf>
    <xf numFmtId="0" fontId="5" fillId="0" borderId="76" xfId="0" applyFont="1" applyBorder="1" applyAlignment="1">
      <alignment vertical="top" wrapText="1"/>
    </xf>
    <xf numFmtId="0" fontId="42" fillId="0" borderId="37" xfId="0" applyFont="1" applyBorder="1" applyAlignment="1">
      <alignment horizontal="center" vertical="center"/>
    </xf>
    <xf numFmtId="0" fontId="42" fillId="0" borderId="38" xfId="0" applyFont="1" applyBorder="1" applyAlignment="1">
      <alignment horizontal="center" vertical="center"/>
    </xf>
    <xf numFmtId="0" fontId="42" fillId="0" borderId="31" xfId="0" applyFont="1" applyBorder="1" applyAlignment="1">
      <alignment horizontal="center" vertical="center"/>
    </xf>
    <xf numFmtId="0" fontId="5" fillId="0" borderId="70" xfId="2" applyBorder="1" applyAlignment="1" applyProtection="1">
      <alignment horizontal="center" vertical="center" wrapText="1"/>
      <protection locked="0"/>
    </xf>
    <xf numFmtId="0" fontId="5" fillId="0" borderId="34" xfId="2" applyBorder="1" applyAlignment="1">
      <alignment horizontal="left" vertical="center" wrapText="1"/>
    </xf>
    <xf numFmtId="0" fontId="44" fillId="10" borderId="0" xfId="0" applyFont="1" applyFill="1"/>
    <xf numFmtId="0" fontId="5" fillId="9" borderId="0" xfId="4" quotePrefix="1" applyFill="1" applyAlignment="1">
      <alignment horizontal="left" vertical="top"/>
    </xf>
    <xf numFmtId="0" fontId="5" fillId="9" borderId="0" xfId="4" applyFill="1" applyAlignment="1">
      <alignment horizontal="center" vertical="top"/>
    </xf>
    <xf numFmtId="0" fontId="5" fillId="0" borderId="0" xfId="4" applyAlignment="1">
      <alignment horizontal="center" vertical="top"/>
    </xf>
    <xf numFmtId="0" fontId="5" fillId="0" borderId="0" xfId="4" applyAlignment="1">
      <alignment horizontal="left"/>
    </xf>
    <xf numFmtId="0" fontId="5" fillId="0" borderId="0" xfId="4" quotePrefix="1" applyAlignment="1">
      <alignment horizontal="left" vertical="top"/>
    </xf>
    <xf numFmtId="0" fontId="5" fillId="0" borderId="0" xfId="4" applyAlignment="1">
      <alignment horizontal="left" vertical="top"/>
    </xf>
    <xf numFmtId="0" fontId="6" fillId="4" borderId="22" xfId="0" applyFont="1" applyFill="1" applyBorder="1" applyAlignment="1">
      <alignment vertical="center" wrapText="1"/>
    </xf>
    <xf numFmtId="0" fontId="33" fillId="4" borderId="1" xfId="0" applyFont="1" applyFill="1" applyBorder="1" applyAlignment="1">
      <alignment horizontal="justify" vertical="center" wrapText="1"/>
    </xf>
    <xf numFmtId="0" fontId="0" fillId="0" borderId="11" xfId="0" applyBorder="1"/>
    <xf numFmtId="0" fontId="9" fillId="0" borderId="10" xfId="0" applyFont="1" applyBorder="1" applyAlignment="1">
      <alignment horizontal="center" wrapText="1"/>
    </xf>
    <xf numFmtId="0" fontId="9" fillId="0" borderId="12" xfId="0" applyFont="1" applyBorder="1" applyAlignment="1">
      <alignment horizontal="center" wrapText="1"/>
    </xf>
    <xf numFmtId="0" fontId="0" fillId="0" borderId="16" xfId="0" applyBorder="1"/>
    <xf numFmtId="0" fontId="5" fillId="0" borderId="9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5" borderId="117" xfId="0" applyFont="1" applyFill="1" applyBorder="1" applyAlignment="1">
      <alignment horizontal="left" vertical="top"/>
    </xf>
    <xf numFmtId="0" fontId="0" fillId="5" borderId="10" xfId="0" applyFill="1" applyBorder="1" applyAlignment="1">
      <alignment horizontal="left" vertical="top"/>
    </xf>
    <xf numFmtId="0" fontId="0" fillId="5" borderId="47" xfId="0" applyFill="1" applyBorder="1" applyAlignment="1">
      <alignment horizontal="left" vertical="top"/>
    </xf>
    <xf numFmtId="0" fontId="3" fillId="0" borderId="0" xfId="0" applyFont="1"/>
    <xf numFmtId="0" fontId="6" fillId="4" borderId="24" xfId="0" applyFont="1" applyFill="1" applyBorder="1" applyAlignment="1">
      <alignment vertical="center" wrapText="1"/>
    </xf>
    <xf numFmtId="0" fontId="33" fillId="4" borderId="18" xfId="0" applyFont="1" applyFill="1" applyBorder="1" applyAlignment="1">
      <alignment vertical="center" wrapText="1"/>
    </xf>
    <xf numFmtId="0" fontId="6" fillId="4" borderId="6" xfId="0" applyFont="1" applyFill="1" applyBorder="1" applyAlignment="1">
      <alignment vertical="center"/>
    </xf>
    <xf numFmtId="0" fontId="5" fillId="0" borderId="68" xfId="2" quotePrefix="1" applyBorder="1" applyAlignment="1">
      <alignment horizontal="center" vertical="top"/>
    </xf>
    <xf numFmtId="0" fontId="0" fillId="0" borderId="5" xfId="0" applyBorder="1"/>
    <xf numFmtId="0" fontId="6" fillId="4" borderId="12" xfId="0" applyFont="1" applyFill="1" applyBorder="1" applyAlignment="1">
      <alignment vertical="center" wrapText="1"/>
    </xf>
    <xf numFmtId="0" fontId="19" fillId="4" borderId="37" xfId="0" applyFont="1" applyFill="1" applyBorder="1"/>
    <xf numFmtId="0" fontId="19" fillId="4" borderId="37" xfId="0" applyFont="1" applyFill="1" applyBorder="1" applyAlignment="1">
      <alignment horizontal="left"/>
    </xf>
    <xf numFmtId="0" fontId="5" fillId="8" borderId="18" xfId="0" applyFont="1" applyFill="1" applyBorder="1" applyAlignment="1">
      <alignment vertical="top" wrapText="1"/>
    </xf>
    <xf numFmtId="0" fontId="5" fillId="8" borderId="0" xfId="0" applyFont="1" applyFill="1" applyAlignment="1">
      <alignment vertical="top" wrapText="1"/>
    </xf>
    <xf numFmtId="0" fontId="5" fillId="8" borderId="54" xfId="0" applyFont="1" applyFill="1" applyBorder="1" applyAlignment="1">
      <alignment vertical="top" wrapText="1"/>
    </xf>
    <xf numFmtId="167" fontId="5" fillId="4" borderId="28" xfId="0" applyNumberFormat="1" applyFont="1" applyFill="1" applyBorder="1" applyAlignment="1" applyProtection="1">
      <alignment vertical="center" wrapText="1"/>
      <protection locked="0"/>
    </xf>
    <xf numFmtId="0" fontId="10" fillId="0" borderId="0" xfId="0" applyFont="1" applyAlignment="1">
      <alignment horizontal="center" vertical="center"/>
    </xf>
    <xf numFmtId="0" fontId="8" fillId="0" borderId="2" xfId="0" applyFont="1" applyBorder="1" applyAlignment="1">
      <alignment horizontal="center" vertical="center"/>
    </xf>
    <xf numFmtId="0" fontId="9" fillId="0" borderId="0" xfId="2" applyFont="1"/>
    <xf numFmtId="0" fontId="9" fillId="0" borderId="0" xfId="2" applyFont="1" applyAlignment="1">
      <alignment wrapText="1"/>
    </xf>
    <xf numFmtId="49" fontId="5" fillId="13" borderId="0" xfId="2" applyNumberFormat="1" applyFill="1"/>
    <xf numFmtId="0" fontId="5" fillId="13" borderId="0" xfId="2" applyFill="1" applyAlignment="1">
      <alignment wrapText="1"/>
    </xf>
    <xf numFmtId="14" fontId="5" fillId="13" borderId="0" xfId="2" applyNumberFormat="1" applyFill="1" applyAlignment="1">
      <alignment horizontal="left" vertical="top" wrapText="1"/>
    </xf>
    <xf numFmtId="0" fontId="5" fillId="13" borderId="0" xfId="2" applyFill="1"/>
    <xf numFmtId="49" fontId="5" fillId="0" borderId="0" xfId="2" applyNumberFormat="1"/>
    <xf numFmtId="0" fontId="5" fillId="0" borderId="0" xfId="2" applyAlignment="1">
      <alignment wrapText="1"/>
    </xf>
    <xf numFmtId="0" fontId="9" fillId="0" borderId="0" xfId="2" applyFont="1" applyAlignment="1">
      <alignment horizontal="left" wrapText="1"/>
    </xf>
    <xf numFmtId="49" fontId="0" fillId="0" borderId="0" xfId="0" applyNumberFormat="1"/>
    <xf numFmtId="0" fontId="0" fillId="0" borderId="16" xfId="0" applyBorder="1" applyAlignment="1">
      <alignment vertical="center"/>
    </xf>
    <xf numFmtId="0" fontId="5" fillId="0" borderId="48" xfId="0" applyFont="1" applyBorder="1"/>
    <xf numFmtId="0" fontId="6" fillId="4" borderId="5" xfId="0" applyFont="1" applyFill="1" applyBorder="1" applyAlignment="1">
      <alignment horizontal="center" vertical="center" wrapText="1"/>
    </xf>
    <xf numFmtId="49" fontId="5" fillId="0" borderId="0" xfId="0" applyNumberFormat="1" applyFont="1"/>
    <xf numFmtId="0" fontId="5" fillId="4" borderId="1" xfId="0" applyFont="1" applyFill="1" applyBorder="1" applyAlignment="1">
      <alignment horizontal="right" vertical="center" wrapText="1"/>
    </xf>
    <xf numFmtId="0" fontId="0" fillId="4" borderId="17" xfId="0" applyFill="1" applyBorder="1"/>
    <xf numFmtId="0" fontId="5" fillId="4" borderId="17" xfId="0" applyFont="1" applyFill="1" applyBorder="1" applyAlignment="1">
      <alignment horizontal="right" vertical="center" wrapText="1"/>
    </xf>
    <xf numFmtId="165" fontId="5" fillId="4" borderId="17" xfId="0" applyNumberFormat="1" applyFont="1" applyFill="1" applyBorder="1" applyAlignment="1">
      <alignment horizontal="center" vertical="center"/>
    </xf>
    <xf numFmtId="0" fontId="0" fillId="4" borderId="28" xfId="0" applyFill="1" applyBorder="1"/>
    <xf numFmtId="0" fontId="2" fillId="11" borderId="0" xfId="0" applyFont="1" applyFill="1" applyAlignment="1">
      <alignment horizontal="left" indent="1"/>
    </xf>
    <xf numFmtId="0" fontId="2" fillId="11" borderId="0" xfId="0" applyFont="1" applyFill="1" applyAlignment="1">
      <alignment horizontal="center"/>
    </xf>
    <xf numFmtId="0" fontId="5" fillId="11" borderId="0" xfId="0" applyFont="1" applyFill="1"/>
    <xf numFmtId="0" fontId="2" fillId="12" borderId="0" xfId="0" applyFont="1" applyFill="1" applyAlignment="1">
      <alignment horizontal="left" indent="1"/>
    </xf>
    <xf numFmtId="0" fontId="2" fillId="12" borderId="0" xfId="0" applyFont="1" applyFill="1" applyAlignment="1">
      <alignment horizontal="center"/>
    </xf>
    <xf numFmtId="0" fontId="5" fillId="12" borderId="0" xfId="0" applyFont="1" applyFill="1"/>
    <xf numFmtId="0" fontId="2" fillId="9" borderId="0" xfId="0" applyFont="1" applyFill="1" applyAlignment="1">
      <alignment horizontal="left" indent="1"/>
    </xf>
    <xf numFmtId="0" fontId="2" fillId="9" borderId="0" xfId="0" applyFont="1" applyFill="1" applyAlignment="1">
      <alignment horizontal="center"/>
    </xf>
    <xf numFmtId="0" fontId="5" fillId="9" borderId="0" xfId="0" applyFont="1" applyFill="1"/>
    <xf numFmtId="0" fontId="5" fillId="9" borderId="0" xfId="4" applyFill="1" applyAlignment="1">
      <alignment horizontal="right" vertical="top"/>
    </xf>
    <xf numFmtId="0" fontId="2" fillId="9" borderId="0" xfId="0" applyFont="1" applyFill="1" applyAlignment="1">
      <alignment horizontal="left" wrapText="1" indent="1"/>
    </xf>
    <xf numFmtId="0" fontId="19" fillId="4" borderId="22"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01" xfId="0" applyFont="1" applyFill="1" applyBorder="1" applyAlignment="1">
      <alignment horizontal="center" vertical="center" wrapText="1"/>
    </xf>
    <xf numFmtId="0" fontId="5" fillId="4" borderId="17" xfId="0" applyFont="1" applyFill="1" applyBorder="1" applyAlignment="1">
      <alignment horizontal="left" vertical="top" wrapText="1"/>
    </xf>
    <xf numFmtId="0" fontId="5" fillId="4" borderId="28" xfId="0" applyFont="1" applyFill="1" applyBorder="1" applyAlignment="1">
      <alignment horizontal="left" vertical="top" wrapText="1"/>
    </xf>
    <xf numFmtId="0" fontId="19" fillId="4" borderId="39" xfId="0" applyFont="1" applyFill="1" applyBorder="1" applyAlignment="1">
      <alignment horizontal="center" vertical="center" wrapText="1"/>
    </xf>
    <xf numFmtId="0" fontId="19" fillId="4" borderId="40" xfId="0" applyFont="1" applyFill="1" applyBorder="1" applyAlignment="1">
      <alignment horizontal="center" vertical="center" wrapText="1"/>
    </xf>
    <xf numFmtId="0" fontId="19" fillId="4" borderId="119" xfId="0" applyFont="1" applyFill="1" applyBorder="1" applyAlignment="1">
      <alignment horizontal="center" vertical="center" wrapText="1"/>
    </xf>
    <xf numFmtId="0" fontId="5" fillId="4" borderId="40" xfId="0" applyFont="1" applyFill="1" applyBorder="1" applyAlignment="1">
      <alignment horizontal="left" vertical="top" wrapText="1"/>
    </xf>
    <xf numFmtId="0" fontId="5" fillId="4" borderId="43" xfId="0" applyFont="1" applyFill="1" applyBorder="1" applyAlignment="1">
      <alignment horizontal="left" vertical="top" wrapText="1"/>
    </xf>
    <xf numFmtId="0" fontId="15" fillId="5" borderId="18" xfId="0" applyFont="1" applyFill="1" applyBorder="1" applyAlignment="1">
      <alignment horizontal="center" vertical="top" wrapText="1"/>
    </xf>
    <xf numFmtId="0" fontId="15" fillId="5" borderId="105" xfId="0" applyFont="1" applyFill="1" applyBorder="1" applyAlignment="1">
      <alignment horizontal="center" vertical="top" wrapText="1"/>
    </xf>
    <xf numFmtId="0" fontId="9" fillId="5" borderId="20" xfId="0" applyFont="1" applyFill="1" applyBorder="1" applyAlignment="1">
      <alignment horizontal="left" vertical="top"/>
    </xf>
    <xf numFmtId="0" fontId="9" fillId="5" borderId="102" xfId="0" applyFont="1" applyFill="1" applyBorder="1" applyAlignment="1">
      <alignment horizontal="left" vertical="top"/>
    </xf>
    <xf numFmtId="0" fontId="5" fillId="5" borderId="104" xfId="0" applyFont="1" applyFill="1" applyBorder="1" applyAlignment="1">
      <alignment horizontal="left" vertical="top"/>
    </xf>
    <xf numFmtId="0" fontId="0" fillId="5" borderId="17" xfId="0" applyFill="1" applyBorder="1" applyAlignment="1">
      <alignment horizontal="left" vertical="top"/>
    </xf>
    <xf numFmtId="0" fontId="0" fillId="5" borderId="28" xfId="0" applyFill="1" applyBorder="1" applyAlignment="1">
      <alignment horizontal="left" vertical="top"/>
    </xf>
    <xf numFmtId="0" fontId="19" fillId="4" borderId="2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00" xfId="0" applyFont="1" applyFill="1" applyBorder="1" applyAlignment="1">
      <alignment horizontal="center" vertical="center" wrapText="1"/>
    </xf>
    <xf numFmtId="0" fontId="5" fillId="4" borderId="14" xfId="0" applyFont="1" applyFill="1" applyBorder="1" applyAlignment="1">
      <alignment horizontal="left" vertical="top" wrapText="1"/>
    </xf>
    <xf numFmtId="0" fontId="5" fillId="4" borderId="25" xfId="0" applyFont="1" applyFill="1" applyBorder="1" applyAlignment="1">
      <alignment horizontal="left" vertical="top" wrapText="1"/>
    </xf>
    <xf numFmtId="0" fontId="19" fillId="3" borderId="31"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38" xfId="0" applyFont="1" applyFill="1" applyBorder="1" applyAlignment="1">
      <alignment horizontal="center" vertical="center" wrapText="1"/>
    </xf>
    <xf numFmtId="0" fontId="5" fillId="5" borderId="117" xfId="0" applyFont="1" applyFill="1" applyBorder="1" applyAlignment="1">
      <alignment horizontal="left" vertical="top" wrapText="1"/>
    </xf>
    <xf numFmtId="0" fontId="5" fillId="5" borderId="10" xfId="0" applyFont="1" applyFill="1" applyBorder="1" applyAlignment="1">
      <alignment horizontal="left" vertical="top" wrapText="1"/>
    </xf>
    <xf numFmtId="0" fontId="5" fillId="5" borderId="47" xfId="0" applyFont="1" applyFill="1" applyBorder="1" applyAlignment="1">
      <alignment horizontal="left" vertical="top" wrapText="1"/>
    </xf>
    <xf numFmtId="0" fontId="5" fillId="5" borderId="118" xfId="0" applyFont="1" applyFill="1" applyBorder="1" applyAlignment="1">
      <alignment horizontal="left" vertical="top" wrapText="1"/>
    </xf>
    <xf numFmtId="0" fontId="5" fillId="5" borderId="13" xfId="0" applyFont="1" applyFill="1" applyBorder="1" applyAlignment="1">
      <alignment horizontal="left" vertical="top" wrapText="1"/>
    </xf>
    <xf numFmtId="0" fontId="5" fillId="5" borderId="46" xfId="0" applyFont="1" applyFill="1" applyBorder="1" applyAlignment="1">
      <alignment horizontal="left" vertical="top" wrapText="1"/>
    </xf>
    <xf numFmtId="0" fontId="15" fillId="5" borderId="24" xfId="0" applyFont="1" applyFill="1" applyBorder="1" applyAlignment="1">
      <alignment horizontal="center" vertical="top" wrapText="1"/>
    </xf>
    <xf numFmtId="0" fontId="15" fillId="5" borderId="107" xfId="0" applyFont="1" applyFill="1" applyBorder="1" applyAlignment="1">
      <alignment horizontal="center" vertical="top" wrapText="1"/>
    </xf>
    <xf numFmtId="0" fontId="5" fillId="5" borderId="104" xfId="0" applyFont="1" applyFill="1" applyBorder="1" applyAlignment="1">
      <alignment horizontal="left" vertical="top" wrapText="1"/>
    </xf>
    <xf numFmtId="0" fontId="5" fillId="5" borderId="17" xfId="0" applyFont="1" applyFill="1" applyBorder="1" applyAlignment="1">
      <alignment horizontal="left" vertical="top" wrapText="1"/>
    </xf>
    <xf numFmtId="0" fontId="5" fillId="5" borderId="28" xfId="0" applyFont="1" applyFill="1" applyBorder="1" applyAlignment="1">
      <alignment horizontal="left" vertical="top" wrapText="1"/>
    </xf>
    <xf numFmtId="0" fontId="9" fillId="5" borderId="19" xfId="0" applyFont="1" applyFill="1" applyBorder="1" applyAlignment="1">
      <alignment horizontal="left" vertical="top"/>
    </xf>
    <xf numFmtId="0" fontId="9" fillId="5" borderId="106" xfId="0" applyFont="1" applyFill="1" applyBorder="1" applyAlignment="1">
      <alignment horizontal="left" vertical="top"/>
    </xf>
    <xf numFmtId="0" fontId="5" fillId="5" borderId="76" xfId="0" applyFont="1" applyFill="1" applyBorder="1" applyAlignment="1">
      <alignment horizontal="left" vertical="top" wrapText="1"/>
    </xf>
    <xf numFmtId="0" fontId="0" fillId="5" borderId="76" xfId="0" applyFill="1" applyBorder="1" applyAlignment="1">
      <alignment horizontal="left" vertical="top"/>
    </xf>
    <xf numFmtId="0" fontId="0" fillId="5" borderId="77" xfId="0" applyFill="1" applyBorder="1" applyAlignment="1">
      <alignment horizontal="left" vertical="top"/>
    </xf>
    <xf numFmtId="0" fontId="0" fillId="5" borderId="79" xfId="0" applyFill="1" applyBorder="1" applyAlignment="1">
      <alignment horizontal="left" vertical="top"/>
    </xf>
    <xf numFmtId="0" fontId="0" fillId="5" borderId="80" xfId="0" applyFill="1" applyBorder="1" applyAlignment="1">
      <alignment horizontal="left" vertical="top"/>
    </xf>
    <xf numFmtId="0" fontId="9" fillId="5" borderId="75" xfId="0" applyFont="1" applyFill="1" applyBorder="1" applyAlignment="1">
      <alignment horizontal="left" vertical="top"/>
    </xf>
    <xf numFmtId="0" fontId="9" fillId="5" borderId="78" xfId="0" applyFont="1" applyFill="1" applyBorder="1" applyAlignment="1">
      <alignment horizontal="left" vertical="top"/>
    </xf>
    <xf numFmtId="0" fontId="5" fillId="8" borderId="15" xfId="0" applyFont="1" applyFill="1" applyBorder="1" applyAlignment="1">
      <alignment horizontal="left" vertical="top" wrapText="1"/>
    </xf>
    <xf numFmtId="0" fontId="5" fillId="8" borderId="29" xfId="0" applyFont="1" applyFill="1" applyBorder="1" applyAlignment="1">
      <alignment horizontal="left" vertical="top" wrapText="1"/>
    </xf>
    <xf numFmtId="0" fontId="5" fillId="8" borderId="30" xfId="0" applyFont="1" applyFill="1" applyBorder="1" applyAlignment="1">
      <alignment horizontal="left" vertical="top" wrapText="1"/>
    </xf>
    <xf numFmtId="0" fontId="5" fillId="8" borderId="18" xfId="0" applyFont="1" applyFill="1" applyBorder="1" applyAlignment="1">
      <alignment horizontal="left" vertical="top" wrapText="1"/>
    </xf>
    <xf numFmtId="0" fontId="5" fillId="8" borderId="0" xfId="0" applyFont="1" applyFill="1" applyAlignment="1">
      <alignment horizontal="left" vertical="top" wrapText="1"/>
    </xf>
    <xf numFmtId="0" fontId="5" fillId="8" borderId="54" xfId="0" applyFont="1" applyFill="1" applyBorder="1" applyAlignment="1">
      <alignment horizontal="left" vertical="top" wrapText="1"/>
    </xf>
    <xf numFmtId="0" fontId="5" fillId="8" borderId="24" xfId="0" applyFont="1" applyFill="1" applyBorder="1" applyAlignment="1">
      <alignment horizontal="left" vertical="top" wrapText="1"/>
    </xf>
    <xf numFmtId="0" fontId="5" fillId="8" borderId="13" xfId="0" applyFont="1" applyFill="1" applyBorder="1" applyAlignment="1">
      <alignment horizontal="left" vertical="top" wrapText="1"/>
    </xf>
    <xf numFmtId="0" fontId="5" fillId="8" borderId="46" xfId="0" applyFont="1" applyFill="1" applyBorder="1" applyAlignment="1">
      <alignment horizontal="left" vertical="top" wrapText="1"/>
    </xf>
    <xf numFmtId="0" fontId="9" fillId="3" borderId="31"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5" fillId="5" borderId="73" xfId="0" applyFont="1" applyFill="1" applyBorder="1" applyAlignment="1">
      <alignment horizontal="left" vertical="top" wrapText="1"/>
    </xf>
    <xf numFmtId="0" fontId="5" fillId="5" borderId="74" xfId="0" applyFont="1" applyFill="1" applyBorder="1" applyAlignment="1">
      <alignment horizontal="left" vertical="top" wrapText="1"/>
    </xf>
    <xf numFmtId="0" fontId="5" fillId="5" borderId="77" xfId="0" applyFont="1" applyFill="1" applyBorder="1" applyAlignment="1">
      <alignment horizontal="left" vertical="top" wrapText="1"/>
    </xf>
    <xf numFmtId="0" fontId="9" fillId="5" borderId="72" xfId="0" applyFont="1" applyFill="1" applyBorder="1" applyAlignment="1">
      <alignment horizontal="left" vertical="top" wrapText="1"/>
    </xf>
    <xf numFmtId="0" fontId="9" fillId="5" borderId="75" xfId="0" applyFont="1" applyFill="1" applyBorder="1" applyAlignment="1">
      <alignment horizontal="left" vertical="top" wrapText="1"/>
    </xf>
    <xf numFmtId="0" fontId="9" fillId="5" borderId="78" xfId="0" applyFont="1" applyFill="1" applyBorder="1" applyAlignment="1">
      <alignment horizontal="left" vertical="top" wrapText="1"/>
    </xf>
    <xf numFmtId="0" fontId="5" fillId="5" borderId="79" xfId="0" applyFont="1" applyFill="1" applyBorder="1" applyAlignment="1">
      <alignment horizontal="left" vertical="top" wrapText="1"/>
    </xf>
    <xf numFmtId="0" fontId="5" fillId="5" borderId="80" xfId="0" applyFont="1" applyFill="1" applyBorder="1" applyAlignment="1">
      <alignment horizontal="left" vertical="top" wrapText="1"/>
    </xf>
    <xf numFmtId="0" fontId="9" fillId="3" borderId="71" xfId="0" applyFont="1" applyFill="1" applyBorder="1" applyAlignment="1">
      <alignment horizontal="center" vertical="center"/>
    </xf>
    <xf numFmtId="0" fontId="9" fillId="3" borderId="84" xfId="0" applyFont="1" applyFill="1" applyBorder="1" applyAlignment="1">
      <alignment horizontal="center" vertical="center"/>
    </xf>
    <xf numFmtId="0" fontId="9" fillId="3" borderId="85" xfId="0" applyFont="1" applyFill="1" applyBorder="1" applyAlignment="1">
      <alignment horizontal="center" vertical="center"/>
    </xf>
    <xf numFmtId="0" fontId="9" fillId="3" borderId="86" xfId="0" applyFont="1" applyFill="1" applyBorder="1" applyAlignment="1">
      <alignment horizontal="center" vertical="center"/>
    </xf>
    <xf numFmtId="0" fontId="5" fillId="5" borderId="82" xfId="0" applyFont="1" applyFill="1" applyBorder="1" applyAlignment="1">
      <alignment horizontal="left" vertical="top" wrapText="1"/>
    </xf>
    <xf numFmtId="0" fontId="5" fillId="5" borderId="83" xfId="0" applyFont="1" applyFill="1" applyBorder="1" applyAlignment="1">
      <alignment horizontal="left" vertical="top" wrapText="1"/>
    </xf>
    <xf numFmtId="0" fontId="9" fillId="5" borderId="81" xfId="0" applyFont="1" applyFill="1" applyBorder="1" applyAlignment="1">
      <alignment horizontal="left" vertical="top"/>
    </xf>
    <xf numFmtId="0" fontId="41" fillId="0" borderId="71" xfId="0" applyFont="1" applyBorder="1" applyAlignment="1">
      <alignment horizontal="center" vertical="center"/>
    </xf>
    <xf numFmtId="0" fontId="19" fillId="8" borderId="71" xfId="0" applyFont="1" applyFill="1" applyBorder="1" applyAlignment="1">
      <alignment horizontal="center" vertical="center"/>
    </xf>
    <xf numFmtId="0" fontId="19" fillId="5" borderId="71" xfId="0" applyFont="1" applyFill="1" applyBorder="1" applyAlignment="1">
      <alignment horizontal="center" vertical="center"/>
    </xf>
    <xf numFmtId="0" fontId="0" fillId="3" borderId="71" xfId="0" applyFill="1" applyBorder="1" applyAlignment="1">
      <alignment horizontal="center" vertical="center"/>
    </xf>
    <xf numFmtId="0" fontId="5" fillId="5" borderId="73" xfId="0" applyFont="1" applyFill="1" applyBorder="1" applyAlignment="1">
      <alignment vertical="top"/>
    </xf>
    <xf numFmtId="0" fontId="0" fillId="5" borderId="73" xfId="0" applyFill="1" applyBorder="1" applyAlignment="1">
      <alignment vertical="top"/>
    </xf>
    <xf numFmtId="0" fontId="0" fillId="5" borderId="74" xfId="0" applyFill="1" applyBorder="1" applyAlignment="1">
      <alignment vertical="top"/>
    </xf>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0" fontId="0" fillId="5" borderId="73" xfId="0" applyFill="1" applyBorder="1" applyAlignment="1">
      <alignment horizontal="left" vertical="top"/>
    </xf>
    <xf numFmtId="0" fontId="0" fillId="5" borderId="74" xfId="0" applyFill="1" applyBorder="1" applyAlignment="1">
      <alignment horizontal="left" vertical="top"/>
    </xf>
    <xf numFmtId="0" fontId="42" fillId="9" borderId="37" xfId="0" applyFont="1" applyFill="1" applyBorder="1" applyAlignment="1">
      <alignment horizontal="center" vertical="center"/>
    </xf>
    <xf numFmtId="0" fontId="42" fillId="9" borderId="38" xfId="0" applyFont="1" applyFill="1" applyBorder="1" applyAlignment="1">
      <alignment horizontal="center" vertical="center"/>
    </xf>
    <xf numFmtId="0" fontId="42" fillId="9" borderId="31" xfId="0" applyFont="1" applyFill="1" applyBorder="1" applyAlignment="1">
      <alignment horizontal="center" vertical="center"/>
    </xf>
    <xf numFmtId="0" fontId="9" fillId="3" borderId="31" xfId="0" applyFont="1" applyFill="1" applyBorder="1" applyAlignment="1">
      <alignment horizontal="center" vertical="center"/>
    </xf>
    <xf numFmtId="0" fontId="5" fillId="5" borderId="103" xfId="0" applyFont="1" applyFill="1" applyBorder="1" applyAlignment="1">
      <alignment horizontal="left" vertical="top" wrapText="1"/>
    </xf>
    <xf numFmtId="0" fontId="5" fillId="5" borderId="14" xfId="0" applyFont="1" applyFill="1" applyBorder="1" applyAlignment="1">
      <alignment horizontal="left" vertical="top" wrapText="1"/>
    </xf>
    <xf numFmtId="0" fontId="5" fillId="5" borderId="25" xfId="0" applyFont="1" applyFill="1" applyBorder="1" applyAlignment="1">
      <alignment horizontal="left" vertical="top" wrapText="1"/>
    </xf>
    <xf numFmtId="0" fontId="9" fillId="5" borderId="23" xfId="0" applyFont="1" applyFill="1" applyBorder="1" applyAlignment="1">
      <alignment horizontal="left" vertical="top"/>
    </xf>
    <xf numFmtId="0" fontId="9" fillId="5" borderId="100" xfId="0" applyFont="1" applyFill="1" applyBorder="1" applyAlignment="1">
      <alignment horizontal="left" vertical="top"/>
    </xf>
    <xf numFmtId="0" fontId="9" fillId="5" borderId="22" xfId="0" applyFont="1" applyFill="1" applyBorder="1" applyAlignment="1">
      <alignment horizontal="left" vertical="top"/>
    </xf>
    <xf numFmtId="0" fontId="9" fillId="5" borderId="101" xfId="0" applyFont="1" applyFill="1" applyBorder="1" applyAlignment="1">
      <alignment horizontal="left" vertical="top"/>
    </xf>
    <xf numFmtId="0" fontId="5" fillId="10" borderId="15" xfId="0" applyFont="1" applyFill="1" applyBorder="1" applyAlignment="1">
      <alignment horizontal="center" vertical="top" wrapText="1"/>
    </xf>
    <xf numFmtId="0" fontId="5" fillId="10" borderId="29" xfId="0" applyFont="1" applyFill="1" applyBorder="1" applyAlignment="1">
      <alignment horizontal="center" vertical="top" wrapText="1"/>
    </xf>
    <xf numFmtId="0" fontId="5" fillId="10" borderId="30" xfId="0" applyFont="1" applyFill="1" applyBorder="1" applyAlignment="1">
      <alignment horizontal="center" vertical="top" wrapText="1"/>
    </xf>
    <xf numFmtId="0" fontId="5" fillId="10" borderId="18" xfId="0" applyFont="1" applyFill="1" applyBorder="1" applyAlignment="1">
      <alignment horizontal="center" vertical="top" wrapText="1"/>
    </xf>
    <xf numFmtId="0" fontId="5" fillId="10" borderId="0" xfId="0" applyFont="1" applyFill="1" applyAlignment="1">
      <alignment horizontal="center" vertical="top" wrapText="1"/>
    </xf>
    <xf numFmtId="0" fontId="5" fillId="10" borderId="54" xfId="0" applyFont="1" applyFill="1" applyBorder="1" applyAlignment="1">
      <alignment horizontal="center" vertical="top" wrapText="1"/>
    </xf>
    <xf numFmtId="0" fontId="5" fillId="10" borderId="24" xfId="0" applyFont="1" applyFill="1" applyBorder="1" applyAlignment="1">
      <alignment horizontal="center" vertical="top" wrapText="1"/>
    </xf>
    <xf numFmtId="0" fontId="5" fillId="10" borderId="13" xfId="0" applyFont="1" applyFill="1" applyBorder="1" applyAlignment="1">
      <alignment horizontal="center" vertical="top" wrapText="1"/>
    </xf>
    <xf numFmtId="0" fontId="5" fillId="10" borderId="46" xfId="0" applyFont="1" applyFill="1" applyBorder="1" applyAlignment="1">
      <alignment horizontal="center" vertical="top" wrapText="1"/>
    </xf>
    <xf numFmtId="0" fontId="9" fillId="3" borderId="15"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54"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46" xfId="0" applyFont="1" applyFill="1" applyBorder="1" applyAlignment="1">
      <alignment horizontal="center" vertical="center" wrapText="1"/>
    </xf>
    <xf numFmtId="49" fontId="10" fillId="0" borderId="19" xfId="0" applyNumberFormat="1" applyFont="1" applyBorder="1" applyAlignment="1" applyProtection="1">
      <alignment horizontal="left" vertical="center"/>
      <protection locked="0"/>
    </xf>
    <xf numFmtId="49" fontId="10" fillId="0" borderId="9" xfId="0" applyNumberFormat="1" applyFont="1" applyBorder="1" applyAlignment="1" applyProtection="1">
      <alignment horizontal="left" vertical="center"/>
      <protection locked="0"/>
    </xf>
    <xf numFmtId="49" fontId="10" fillId="0" borderId="21" xfId="0" applyNumberFormat="1" applyFont="1" applyBorder="1" applyAlignment="1" applyProtection="1">
      <alignment horizontal="left" vertical="center"/>
      <protection locked="0"/>
    </xf>
    <xf numFmtId="0" fontId="10" fillId="0" borderId="5" xfId="0" applyFont="1" applyBorder="1" applyAlignment="1" applyProtection="1">
      <alignment horizontal="left"/>
      <protection locked="0"/>
    </xf>
    <xf numFmtId="49" fontId="10" fillId="0" borderId="5" xfId="0" applyNumberFormat="1" applyFont="1" applyBorder="1" applyAlignment="1" applyProtection="1">
      <alignment horizontal="left"/>
      <protection locked="0"/>
    </xf>
    <xf numFmtId="49" fontId="10" fillId="0" borderId="3" xfId="0" applyNumberFormat="1" applyFont="1" applyBorder="1" applyAlignment="1" applyProtection="1">
      <alignment horizontal="left"/>
      <protection locked="0"/>
    </xf>
    <xf numFmtId="49" fontId="10" fillId="0" borderId="24" xfId="0" applyNumberFormat="1" applyFont="1" applyBorder="1" applyAlignment="1" applyProtection="1">
      <alignment horizontal="left" vertical="center"/>
      <protection locked="0"/>
    </xf>
    <xf numFmtId="49" fontId="10" fillId="0" borderId="13" xfId="0" applyNumberFormat="1" applyFont="1" applyBorder="1" applyAlignment="1" applyProtection="1">
      <alignment horizontal="left" vertical="center"/>
      <protection locked="0"/>
    </xf>
    <xf numFmtId="49" fontId="10" fillId="0" borderId="46" xfId="0" applyNumberFormat="1" applyFont="1" applyBorder="1" applyAlignment="1" applyProtection="1">
      <alignment horizontal="left" vertical="center"/>
      <protection locked="0"/>
    </xf>
    <xf numFmtId="0" fontId="11" fillId="0" borderId="20" xfId="0" applyFont="1" applyBorder="1" applyAlignment="1">
      <alignment horizontal="left" vertical="center"/>
    </xf>
    <xf numFmtId="0" fontId="11" fillId="0" borderId="10" xfId="0" applyFont="1" applyBorder="1" applyAlignment="1">
      <alignment horizontal="left" vertical="center"/>
    </xf>
    <xf numFmtId="0" fontId="5" fillId="0" borderId="10" xfId="0" applyFont="1" applyBorder="1" applyAlignment="1">
      <alignment horizontal="left" vertical="center"/>
    </xf>
    <xf numFmtId="0" fontId="5" fillId="0" borderId="47" xfId="0" applyFont="1" applyBorder="1" applyAlignment="1">
      <alignment horizontal="left" vertical="center"/>
    </xf>
    <xf numFmtId="0" fontId="5" fillId="0" borderId="20" xfId="0" applyFont="1" applyBorder="1" applyAlignment="1">
      <alignment horizontal="left" vertical="center"/>
    </xf>
    <xf numFmtId="0" fontId="10" fillId="0" borderId="19"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49"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49" fontId="10" fillId="0" borderId="48" xfId="0" applyNumberFormat="1" applyFont="1" applyBorder="1" applyAlignment="1" applyProtection="1">
      <alignment horizontal="left" vertical="center"/>
      <protection locked="0"/>
    </xf>
    <xf numFmtId="49" fontId="10" fillId="0" borderId="49" xfId="0" applyNumberFormat="1" applyFont="1" applyBorder="1" applyAlignment="1" applyProtection="1">
      <alignment horizontal="left" vertical="center"/>
      <protection locked="0"/>
    </xf>
    <xf numFmtId="0" fontId="12" fillId="0" borderId="10" xfId="0" applyFont="1" applyBorder="1" applyAlignment="1">
      <alignment horizontal="left" vertical="center"/>
    </xf>
    <xf numFmtId="0" fontId="12" fillId="0" borderId="12" xfId="0" applyFont="1" applyBorder="1" applyAlignment="1">
      <alignment horizontal="left"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2" fillId="0" borderId="47" xfId="0" applyFont="1" applyBorder="1" applyAlignment="1">
      <alignment horizontal="left" vertical="center"/>
    </xf>
    <xf numFmtId="0" fontId="10" fillId="0" borderId="48" xfId="0" applyFont="1" applyBorder="1" applyAlignment="1" applyProtection="1">
      <alignment horizontal="left" vertical="center"/>
      <protection locked="0"/>
    </xf>
    <xf numFmtId="0" fontId="17" fillId="0" borderId="5" xfId="0" applyFont="1" applyBorder="1" applyAlignment="1" applyProtection="1">
      <alignment horizontal="center"/>
      <protection locked="0"/>
    </xf>
    <xf numFmtId="0" fontId="17" fillId="0" borderId="3" xfId="0" applyFont="1" applyBorder="1" applyAlignment="1" applyProtection="1">
      <alignment horizontal="center"/>
      <protection locked="0"/>
    </xf>
    <xf numFmtId="0" fontId="8" fillId="3" borderId="31"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8" fillId="3" borderId="38" xfId="0" applyFont="1" applyFill="1" applyBorder="1" applyAlignment="1">
      <alignment horizontal="left" vertical="center" wrapText="1"/>
    </xf>
    <xf numFmtId="0" fontId="14" fillId="3" borderId="31" xfId="0" applyFont="1" applyFill="1" applyBorder="1" applyAlignment="1">
      <alignment horizontal="left" vertical="center"/>
    </xf>
    <xf numFmtId="0" fontId="14" fillId="3" borderId="37" xfId="0" applyFont="1" applyFill="1" applyBorder="1" applyAlignment="1">
      <alignment horizontal="left" vertical="center"/>
    </xf>
    <xf numFmtId="0" fontId="14" fillId="3" borderId="38" xfId="0" applyFont="1" applyFill="1" applyBorder="1" applyAlignment="1">
      <alignment horizontal="left" vertical="center"/>
    </xf>
    <xf numFmtId="0" fontId="5" fillId="0" borderId="6" xfId="0" applyFont="1" applyBorder="1" applyAlignment="1">
      <alignment horizontal="left"/>
    </xf>
    <xf numFmtId="0" fontId="0" fillId="0" borderId="5" xfId="0" applyBorder="1" applyAlignment="1">
      <alignment horizontal="left"/>
    </xf>
    <xf numFmtId="0" fontId="5" fillId="0" borderId="6" xfId="0" applyFont="1" applyBorder="1" applyAlignment="1">
      <alignment horizontal="left" wrapText="1"/>
    </xf>
    <xf numFmtId="0" fontId="5" fillId="0" borderId="5" xfId="0" applyFont="1" applyBorder="1" applyAlignment="1">
      <alignment horizontal="left" wrapText="1"/>
    </xf>
    <xf numFmtId="0" fontId="0" fillId="0" borderId="8" xfId="0" applyBorder="1" applyAlignment="1">
      <alignment horizontal="center"/>
    </xf>
    <xf numFmtId="0" fontId="0" fillId="0" borderId="28"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8" fillId="3" borderId="31" xfId="0" applyFont="1" applyFill="1" applyBorder="1" applyAlignment="1">
      <alignment horizontal="left"/>
    </xf>
    <xf numFmtId="0" fontId="8" fillId="3" borderId="37" xfId="0" applyFont="1" applyFill="1" applyBorder="1" applyAlignment="1">
      <alignment horizontal="left"/>
    </xf>
    <xf numFmtId="0" fontId="8" fillId="3" borderId="38" xfId="0" applyFont="1" applyFill="1" applyBorder="1" applyAlignment="1">
      <alignment horizontal="left"/>
    </xf>
    <xf numFmtId="0" fontId="17" fillId="0" borderId="42" xfId="0" applyFont="1" applyBorder="1" applyAlignment="1" applyProtection="1">
      <alignment horizontal="center"/>
      <protection locked="0"/>
    </xf>
    <xf numFmtId="0" fontId="17" fillId="0" borderId="41" xfId="0" applyFont="1" applyBorder="1" applyAlignment="1" applyProtection="1">
      <alignment horizontal="center"/>
      <protection locked="0"/>
    </xf>
    <xf numFmtId="0" fontId="17" fillId="0" borderId="34" xfId="0" applyFont="1" applyBorder="1" applyAlignment="1" applyProtection="1">
      <alignment horizontal="center"/>
      <protection locked="0"/>
    </xf>
    <xf numFmtId="0" fontId="17" fillId="0" borderId="4" xfId="0" applyFont="1" applyBorder="1" applyAlignment="1" applyProtection="1">
      <alignment horizontal="center"/>
      <protection locked="0"/>
    </xf>
    <xf numFmtId="0" fontId="16" fillId="0" borderId="6" xfId="0" applyFont="1" applyBorder="1" applyAlignment="1">
      <alignment horizontal="left"/>
    </xf>
    <xf numFmtId="0" fontId="16" fillId="0" borderId="5" xfId="0" applyFont="1" applyBorder="1" applyAlignment="1">
      <alignment horizontal="left"/>
    </xf>
    <xf numFmtId="0" fontId="17" fillId="0" borderId="5" xfId="0" applyFont="1" applyBorder="1" applyAlignment="1" applyProtection="1">
      <alignment horizontal="left"/>
      <protection locked="0"/>
    </xf>
    <xf numFmtId="0" fontId="17" fillId="0" borderId="40" xfId="0" applyFont="1" applyBorder="1" applyAlignment="1" applyProtection="1">
      <alignment horizontal="left"/>
      <protection locked="0"/>
    </xf>
    <xf numFmtId="0" fontId="10" fillId="0" borderId="42" xfId="0" applyFont="1" applyBorder="1" applyAlignment="1" applyProtection="1">
      <alignment horizontal="left"/>
      <protection locked="0"/>
    </xf>
    <xf numFmtId="0" fontId="10" fillId="0" borderId="40" xfId="0" applyFont="1" applyBorder="1" applyAlignment="1" applyProtection="1">
      <alignment horizontal="left"/>
      <protection locked="0"/>
    </xf>
    <xf numFmtId="0" fontId="10" fillId="0" borderId="41" xfId="0" applyFont="1" applyBorder="1" applyAlignment="1" applyProtection="1">
      <alignment horizontal="left"/>
      <protection locked="0"/>
    </xf>
    <xf numFmtId="49" fontId="10" fillId="0" borderId="40" xfId="0" applyNumberFormat="1" applyFont="1" applyBorder="1" applyAlignment="1" applyProtection="1">
      <alignment horizontal="left"/>
      <protection locked="0"/>
    </xf>
    <xf numFmtId="49" fontId="10" fillId="0" borderId="43" xfId="0" applyNumberFormat="1" applyFont="1" applyBorder="1" applyAlignment="1" applyProtection="1">
      <alignment horizontal="left"/>
      <protection locked="0"/>
    </xf>
    <xf numFmtId="0" fontId="16" fillId="0" borderId="39" xfId="0" applyFont="1" applyBorder="1" applyAlignment="1">
      <alignment horizontal="left"/>
    </xf>
    <xf numFmtId="0" fontId="16" fillId="0" borderId="41" xfId="0" applyFont="1" applyBorder="1" applyAlignment="1">
      <alignment horizontal="left"/>
    </xf>
    <xf numFmtId="0" fontId="0" fillId="0" borderId="8" xfId="0" applyBorder="1" applyAlignment="1" applyProtection="1">
      <alignment horizontal="center"/>
      <protection locked="0"/>
    </xf>
    <xf numFmtId="0" fontId="0" fillId="0" borderId="17" xfId="0" applyBorder="1" applyAlignment="1" applyProtection="1">
      <alignment horizontal="center"/>
      <protection locked="0"/>
    </xf>
    <xf numFmtId="0" fontId="10" fillId="0" borderId="23" xfId="0" applyFont="1" applyBorder="1" applyAlignment="1" applyProtection="1">
      <alignment horizontal="left"/>
      <protection locked="0"/>
    </xf>
    <xf numFmtId="0" fontId="10" fillId="0" borderId="14"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17" xfId="0" applyFont="1" applyBorder="1" applyAlignment="1" applyProtection="1">
      <alignment horizontal="left"/>
      <protection locked="0"/>
    </xf>
    <xf numFmtId="0" fontId="10" fillId="0" borderId="35" xfId="0" applyFont="1" applyBorder="1" applyAlignment="1" applyProtection="1">
      <alignment horizontal="center"/>
      <protection locked="0"/>
    </xf>
    <xf numFmtId="0" fontId="10" fillId="0" borderId="44" xfId="0" applyFont="1" applyBorder="1" applyAlignment="1" applyProtection="1">
      <alignment horizontal="center"/>
      <protection locked="0"/>
    </xf>
    <xf numFmtId="0" fontId="23" fillId="0" borderId="44" xfId="0" applyFont="1" applyBorder="1" applyAlignment="1">
      <alignment horizontal="center"/>
    </xf>
    <xf numFmtId="0" fontId="23" fillId="0" borderId="36" xfId="0" applyFont="1" applyBorder="1" applyAlignment="1">
      <alignment horizontal="center"/>
    </xf>
    <xf numFmtId="0" fontId="17" fillId="0" borderId="8" xfId="0" applyFont="1" applyBorder="1" applyAlignment="1" applyProtection="1">
      <alignment horizontal="center"/>
      <protection locked="0"/>
    </xf>
    <xf numFmtId="0" fontId="17" fillId="0" borderId="26" xfId="0" applyFont="1" applyBorder="1" applyAlignment="1" applyProtection="1">
      <alignment horizontal="center"/>
      <protection locked="0"/>
    </xf>
    <xf numFmtId="0" fontId="23" fillId="0" borderId="35" xfId="0" applyFont="1" applyBorder="1" applyAlignment="1">
      <alignment horizontal="center"/>
    </xf>
    <xf numFmtId="0" fontId="23" fillId="0" borderId="2" xfId="0" applyFont="1" applyBorder="1" applyAlignment="1">
      <alignment horizontal="center"/>
    </xf>
    <xf numFmtId="0" fontId="8" fillId="0" borderId="1" xfId="0" applyFont="1" applyBorder="1" applyAlignment="1">
      <alignment horizontal="center"/>
    </xf>
    <xf numFmtId="0" fontId="8" fillId="0" borderId="35" xfId="0" applyFont="1" applyBorder="1" applyAlignment="1">
      <alignment horizontal="center"/>
    </xf>
    <xf numFmtId="0" fontId="8" fillId="0" borderId="44" xfId="0" applyFont="1" applyBorder="1" applyAlignment="1">
      <alignment horizontal="center"/>
    </xf>
    <xf numFmtId="0" fontId="8" fillId="0" borderId="14" xfId="0" applyFont="1" applyBorder="1" applyAlignment="1">
      <alignment horizontal="center"/>
    </xf>
    <xf numFmtId="0" fontId="8" fillId="0" borderId="25" xfId="0" applyFont="1" applyBorder="1" applyAlignment="1">
      <alignment horizontal="center"/>
    </xf>
    <xf numFmtId="0" fontId="5" fillId="6" borderId="6" xfId="0" applyFont="1" applyFill="1" applyBorder="1" applyAlignment="1" applyProtection="1">
      <alignment horizontal="left"/>
      <protection locked="0"/>
    </xf>
    <xf numFmtId="0" fontId="0" fillId="6" borderId="5" xfId="0" applyFill="1" applyBorder="1" applyAlignment="1" applyProtection="1">
      <alignment horizontal="left"/>
      <protection locked="0"/>
    </xf>
    <xf numFmtId="0" fontId="10" fillId="6" borderId="8" xfId="0" applyFont="1" applyFill="1" applyBorder="1" applyAlignment="1" applyProtection="1">
      <alignment horizontal="left" vertical="top" wrapText="1"/>
      <protection locked="0"/>
    </xf>
    <xf numFmtId="0" fontId="10" fillId="6" borderId="17" xfId="0" applyFont="1" applyFill="1" applyBorder="1" applyAlignment="1" applyProtection="1">
      <alignment horizontal="left" vertical="top" wrapText="1"/>
      <protection locked="0"/>
    </xf>
    <xf numFmtId="0" fontId="10" fillId="6" borderId="28" xfId="0" applyFont="1" applyFill="1" applyBorder="1" applyAlignment="1" applyProtection="1">
      <alignment horizontal="left" vertical="top" wrapText="1"/>
      <protection locked="0"/>
    </xf>
    <xf numFmtId="0" fontId="0" fillId="0" borderId="5" xfId="0" applyBorder="1" applyAlignment="1">
      <alignment horizontal="left" wrapText="1"/>
    </xf>
    <xf numFmtId="0" fontId="0" fillId="0" borderId="42" xfId="0" applyBorder="1" applyAlignment="1" applyProtection="1">
      <alignment horizontal="center"/>
      <protection locked="0"/>
    </xf>
    <xf numFmtId="0" fontId="0" fillId="0" borderId="40" xfId="0" applyBorder="1" applyAlignment="1" applyProtection="1">
      <alignment horizontal="center"/>
      <protection locked="0"/>
    </xf>
    <xf numFmtId="0" fontId="10" fillId="0" borderId="39" xfId="0" applyFont="1" applyBorder="1" applyAlignment="1" applyProtection="1">
      <alignment horizontal="left"/>
      <protection locked="0"/>
    </xf>
    <xf numFmtId="0" fontId="5" fillId="0" borderId="5" xfId="0" applyFont="1" applyBorder="1" applyAlignment="1">
      <alignment horizontal="left"/>
    </xf>
    <xf numFmtId="0" fontId="0" fillId="0" borderId="44" xfId="0" applyBorder="1" applyAlignment="1">
      <alignment horizontal="center"/>
    </xf>
    <xf numFmtId="0" fontId="0" fillId="0" borderId="25" xfId="0" applyBorder="1" applyAlignment="1">
      <alignment horizontal="center"/>
    </xf>
    <xf numFmtId="0" fontId="5" fillId="0" borderId="7" xfId="0" applyFont="1" applyBorder="1" applyAlignment="1">
      <alignment horizontal="left"/>
    </xf>
    <xf numFmtId="0" fontId="0" fillId="0" borderId="34" xfId="0" applyBorder="1" applyAlignment="1">
      <alignment horizontal="left"/>
    </xf>
    <xf numFmtId="0" fontId="5" fillId="0" borderId="23" xfId="0" applyFont="1" applyBorder="1" applyAlignment="1">
      <alignment horizontal="left" vertical="center" wrapText="1"/>
    </xf>
    <xf numFmtId="0" fontId="5" fillId="0" borderId="14" xfId="0" applyFont="1" applyBorder="1" applyAlignment="1">
      <alignment horizontal="left" vertical="center" wrapText="1"/>
    </xf>
    <xf numFmtId="0" fontId="5" fillId="0" borderId="36" xfId="0" applyFont="1" applyBorder="1" applyAlignment="1">
      <alignment horizontal="left" vertical="center" wrapText="1"/>
    </xf>
    <xf numFmtId="0" fontId="0" fillId="6" borderId="42" xfId="0" applyFill="1" applyBorder="1" applyAlignment="1" applyProtection="1">
      <alignment horizontal="left"/>
      <protection locked="0"/>
    </xf>
    <xf numFmtId="0" fontId="0" fillId="6" borderId="40" xfId="0" applyFill="1" applyBorder="1" applyAlignment="1" applyProtection="1">
      <alignment horizontal="left"/>
      <protection locked="0"/>
    </xf>
    <xf numFmtId="0" fontId="0" fillId="6" borderId="43" xfId="0" applyFill="1" applyBorder="1" applyAlignment="1" applyProtection="1">
      <alignment horizontal="left"/>
      <protection locked="0"/>
    </xf>
    <xf numFmtId="0" fontId="5" fillId="0" borderId="4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22" fillId="0" borderId="31" xfId="0" applyFont="1" applyBorder="1" applyAlignment="1">
      <alignment horizontal="center" vertical="center"/>
    </xf>
    <xf numFmtId="0" fontId="22" fillId="0" borderId="37" xfId="0" applyFont="1" applyBorder="1" applyAlignment="1">
      <alignment horizontal="center" vertical="center"/>
    </xf>
    <xf numFmtId="0" fontId="8" fillId="0" borderId="2" xfId="0" applyFont="1" applyBorder="1" applyAlignment="1">
      <alignment horizontal="center"/>
    </xf>
    <xf numFmtId="0" fontId="5" fillId="0" borderId="16" xfId="0" applyFont="1" applyBorder="1" applyAlignment="1">
      <alignment horizontal="left" vertical="center"/>
    </xf>
    <xf numFmtId="0" fontId="12" fillId="0" borderId="0" xfId="0" applyFont="1" applyAlignment="1">
      <alignment horizontal="left" vertical="center"/>
    </xf>
    <xf numFmtId="0" fontId="12" fillId="0" borderId="54" xfId="0" applyFont="1" applyBorder="1" applyAlignment="1">
      <alignment horizontal="left" vertical="center"/>
    </xf>
    <xf numFmtId="0" fontId="19" fillId="3" borderId="37" xfId="0" applyFont="1" applyFill="1" applyBorder="1" applyAlignment="1">
      <alignment horizontal="left"/>
    </xf>
    <xf numFmtId="0" fontId="19" fillId="3" borderId="38" xfId="0" applyFont="1" applyFill="1" applyBorder="1" applyAlignment="1">
      <alignment horizontal="left"/>
    </xf>
    <xf numFmtId="0" fontId="12" fillId="0" borderId="15"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horizontal="left" vertical="center"/>
    </xf>
    <xf numFmtId="0" fontId="11" fillId="0" borderId="12" xfId="0" applyFont="1" applyBorder="1" applyAlignment="1">
      <alignment horizontal="left" vertical="center"/>
    </xf>
    <xf numFmtId="0" fontId="5" fillId="0" borderId="11" xfId="0" applyFont="1" applyBorder="1" applyAlignment="1">
      <alignment horizontal="left" vertical="center"/>
    </xf>
    <xf numFmtId="0" fontId="8" fillId="3" borderId="31" xfId="0" applyFont="1" applyFill="1" applyBorder="1" applyAlignment="1">
      <alignment horizontal="left" wrapText="1"/>
    </xf>
    <xf numFmtId="0" fontId="5" fillId="0" borderId="24" xfId="0" applyFont="1" applyBorder="1" applyAlignment="1">
      <alignment horizontal="left" vertical="center" wrapText="1"/>
    </xf>
    <xf numFmtId="0" fontId="5" fillId="0" borderId="13" xfId="0" applyFont="1" applyBorder="1" applyAlignment="1">
      <alignment horizontal="left" vertical="center" wrapText="1"/>
    </xf>
    <xf numFmtId="0" fontId="5" fillId="0" borderId="8"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166" fontId="5" fillId="0" borderId="111" xfId="0" applyNumberFormat="1" applyFont="1" applyBorder="1" applyAlignment="1" applyProtection="1">
      <alignment horizontal="center" vertical="center"/>
      <protection locked="0"/>
    </xf>
    <xf numFmtId="166" fontId="5" fillId="0" borderId="112" xfId="0" applyNumberFormat="1" applyFont="1" applyBorder="1" applyAlignment="1" applyProtection="1">
      <alignment horizontal="center" vertical="center"/>
      <protection locked="0"/>
    </xf>
    <xf numFmtId="49" fontId="5" fillId="0" borderId="111" xfId="0" applyNumberFormat="1" applyFont="1" applyBorder="1" applyAlignment="1" applyProtection="1">
      <alignment horizontal="left" vertical="center"/>
      <protection locked="0"/>
    </xf>
    <xf numFmtId="49" fontId="5" fillId="0" borderId="113" xfId="0" applyNumberFormat="1" applyFont="1" applyBorder="1" applyAlignment="1" applyProtection="1">
      <alignment horizontal="left" vertical="center"/>
      <protection locked="0"/>
    </xf>
    <xf numFmtId="0" fontId="8" fillId="0" borderId="44"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3" xfId="0" applyFont="1" applyBorder="1" applyAlignment="1">
      <alignment horizontal="center" vertical="center"/>
    </xf>
    <xf numFmtId="0" fontId="8" fillId="0" borderId="14" xfId="0" applyFont="1" applyBorder="1" applyAlignment="1">
      <alignment horizontal="center" vertical="center"/>
    </xf>
    <xf numFmtId="0" fontId="8" fillId="0" borderId="36" xfId="0" applyFont="1" applyBorder="1" applyAlignment="1">
      <alignment horizontal="center" vertical="center"/>
    </xf>
    <xf numFmtId="0" fontId="5" fillId="0" borderId="6"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17" xfId="0" applyFont="1" applyBorder="1" applyAlignment="1" applyProtection="1">
      <alignment horizontal="left"/>
      <protection locked="0"/>
    </xf>
    <xf numFmtId="0" fontId="5" fillId="0" borderId="26" xfId="0" applyFont="1" applyBorder="1" applyAlignment="1" applyProtection="1">
      <alignment horizontal="left"/>
      <protection locked="0"/>
    </xf>
    <xf numFmtId="166" fontId="5" fillId="0" borderId="5" xfId="0" applyNumberFormat="1" applyFont="1" applyBorder="1" applyAlignment="1" applyProtection="1">
      <alignment horizontal="center"/>
      <protection locked="0"/>
    </xf>
    <xf numFmtId="0" fontId="5" fillId="0" borderId="28" xfId="0"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34" xfId="0" applyFont="1" applyBorder="1" applyAlignment="1" applyProtection="1">
      <alignment horizontal="left"/>
      <protection locked="0"/>
    </xf>
    <xf numFmtId="0" fontId="5" fillId="0" borderId="42" xfId="0" applyFont="1" applyBorder="1" applyAlignment="1" applyProtection="1">
      <alignment horizontal="left"/>
      <protection locked="0"/>
    </xf>
    <xf numFmtId="0" fontId="5" fillId="0" borderId="40" xfId="0" applyFont="1" applyBorder="1" applyAlignment="1" applyProtection="1">
      <alignment horizontal="left"/>
      <protection locked="0"/>
    </xf>
    <xf numFmtId="0" fontId="5" fillId="0" borderId="41" xfId="0" applyFont="1" applyBorder="1" applyAlignment="1" applyProtection="1">
      <alignment horizontal="left"/>
      <protection locked="0"/>
    </xf>
    <xf numFmtId="0" fontId="5" fillId="0" borderId="3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4" fillId="4" borderId="23" xfId="0" applyFont="1" applyFill="1" applyBorder="1" applyAlignment="1">
      <alignment horizontal="left" wrapText="1"/>
    </xf>
    <xf numFmtId="0" fontId="14" fillId="4" borderId="14" xfId="0" applyFont="1" applyFill="1" applyBorder="1" applyAlignment="1">
      <alignment horizontal="left" wrapText="1"/>
    </xf>
    <xf numFmtId="0" fontId="28" fillId="4" borderId="14" xfId="0" applyFont="1" applyFill="1" applyBorder="1" applyAlignment="1">
      <alignment horizontal="left"/>
    </xf>
    <xf numFmtId="0" fontId="28" fillId="4" borderId="25" xfId="0" applyFont="1" applyFill="1" applyBorder="1" applyAlignment="1">
      <alignment horizontal="left"/>
    </xf>
    <xf numFmtId="0" fontId="8" fillId="0" borderId="48" xfId="0" applyFont="1" applyBorder="1" applyAlignment="1">
      <alignment horizontal="center" vertical="center"/>
    </xf>
    <xf numFmtId="0" fontId="8" fillId="0" borderId="21" xfId="0" applyFont="1" applyBorder="1" applyAlignment="1">
      <alignment horizontal="center" vertical="center"/>
    </xf>
    <xf numFmtId="0" fontId="5" fillId="0" borderId="42"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7" xfId="0" applyFont="1" applyBorder="1" applyAlignment="1">
      <alignment horizontal="center" vertical="center" wrapText="1"/>
    </xf>
    <xf numFmtId="166" fontId="5" fillId="0" borderId="8" xfId="0" applyNumberFormat="1" applyFont="1" applyBorder="1" applyAlignment="1" applyProtection="1">
      <alignment horizontal="center" vertical="center"/>
      <protection locked="0"/>
    </xf>
    <xf numFmtId="166" fontId="5" fillId="0" borderId="26"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26" xfId="0" applyFont="1" applyBorder="1" applyAlignment="1">
      <alignment horizontal="center" vertical="center"/>
    </xf>
    <xf numFmtId="0" fontId="5" fillId="0" borderId="26" xfId="0" applyFont="1" applyBorder="1" applyAlignment="1" applyProtection="1">
      <alignment horizontal="center" vertical="center"/>
      <protection locked="0"/>
    </xf>
    <xf numFmtId="0" fontId="8" fillId="2" borderId="33" xfId="0" applyFont="1" applyFill="1" applyBorder="1" applyAlignment="1">
      <alignment horizontal="center"/>
    </xf>
    <xf numFmtId="0" fontId="8" fillId="2" borderId="50" xfId="0" applyFont="1" applyFill="1" applyBorder="1" applyAlignment="1">
      <alignment horizontal="center"/>
    </xf>
    <xf numFmtId="0" fontId="8" fillId="2" borderId="35" xfId="0" applyFont="1" applyFill="1" applyBorder="1" applyAlignment="1">
      <alignment horizontal="center"/>
    </xf>
    <xf numFmtId="0" fontId="8" fillId="2" borderId="23" xfId="0" applyFont="1" applyFill="1" applyBorder="1" applyAlignment="1">
      <alignment horizontal="center"/>
    </xf>
    <xf numFmtId="0" fontId="8" fillId="2" borderId="36" xfId="0" applyFont="1" applyFill="1" applyBorder="1" applyAlignment="1">
      <alignment horizontal="center"/>
    </xf>
    <xf numFmtId="0" fontId="5" fillId="0" borderId="5" xfId="0" applyFont="1" applyBorder="1" applyAlignment="1" applyProtection="1">
      <alignment horizontal="left" vertical="center"/>
      <protection locked="0"/>
    </xf>
    <xf numFmtId="0" fontId="8" fillId="2" borderId="44" xfId="0" applyFont="1" applyFill="1" applyBorder="1" applyAlignment="1">
      <alignment horizontal="center"/>
    </xf>
    <xf numFmtId="0" fontId="8" fillId="2" borderId="14" xfId="0" applyFont="1" applyFill="1" applyBorder="1" applyAlignment="1">
      <alignment horizontal="center"/>
    </xf>
    <xf numFmtId="0" fontId="5" fillId="0" borderId="6" xfId="0" applyFont="1" applyBorder="1" applyAlignment="1" applyProtection="1">
      <alignment horizontal="left" vertical="center"/>
      <protection locked="0"/>
    </xf>
    <xf numFmtId="0" fontId="10" fillId="0" borderId="56"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8" fillId="2" borderId="2" xfId="0" applyFont="1" applyFill="1" applyBorder="1" applyAlignment="1">
      <alignment horizontal="center"/>
    </xf>
    <xf numFmtId="0" fontId="5"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8" fillId="0" borderId="20"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22" fillId="4" borderId="37" xfId="0" applyFont="1" applyFill="1" applyBorder="1" applyAlignment="1">
      <alignment horizontal="center" vertical="center"/>
    </xf>
    <xf numFmtId="0" fontId="22" fillId="4" borderId="38" xfId="0" applyFont="1" applyFill="1" applyBorder="1" applyAlignment="1">
      <alignment horizontal="center" vertical="center"/>
    </xf>
    <xf numFmtId="0" fontId="22" fillId="4" borderId="31" xfId="0" applyFont="1" applyFill="1" applyBorder="1" applyAlignment="1">
      <alignment horizontal="center" vertical="center"/>
    </xf>
    <xf numFmtId="0" fontId="5" fillId="0" borderId="19" xfId="0" applyFont="1" applyBorder="1" applyAlignment="1">
      <alignment horizontal="left" vertical="center"/>
    </xf>
    <xf numFmtId="0" fontId="5" fillId="0" borderId="9"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17" xfId="0" applyFont="1" applyBorder="1" applyAlignment="1">
      <alignment horizontal="left" vertical="center"/>
    </xf>
    <xf numFmtId="0" fontId="5" fillId="0" borderId="26" xfId="0" applyFont="1" applyBorder="1" applyAlignment="1">
      <alignment horizontal="left" vertical="center"/>
    </xf>
    <xf numFmtId="0" fontId="5" fillId="0" borderId="4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8" fillId="0" borderId="44" xfId="0" applyFont="1" applyBorder="1" applyAlignment="1">
      <alignment horizontal="center" vertical="center"/>
    </xf>
    <xf numFmtId="3" fontId="5" fillId="0" borderId="8" xfId="0" applyNumberFormat="1" applyFont="1" applyBorder="1" applyAlignment="1" applyProtection="1">
      <alignment horizontal="right" vertical="center"/>
      <protection locked="0"/>
    </xf>
    <xf numFmtId="3" fontId="5" fillId="0" borderId="26" xfId="0" applyNumberFormat="1" applyFont="1" applyBorder="1" applyAlignment="1" applyProtection="1">
      <alignment horizontal="right" vertical="center"/>
      <protection locked="0"/>
    </xf>
    <xf numFmtId="166" fontId="10" fillId="0" borderId="8" xfId="0" applyNumberFormat="1" applyFont="1" applyBorder="1" applyAlignment="1" applyProtection="1">
      <alignment horizontal="center" vertical="center"/>
      <protection locked="0"/>
    </xf>
    <xf numFmtId="166" fontId="11" fillId="0" borderId="17" xfId="0" applyNumberFormat="1" applyFont="1" applyBorder="1" applyAlignment="1" applyProtection="1">
      <alignment horizontal="center" vertical="center"/>
      <protection locked="0"/>
    </xf>
    <xf numFmtId="166" fontId="11" fillId="0" borderId="26" xfId="0" applyNumberFormat="1" applyFont="1" applyBorder="1" applyAlignment="1" applyProtection="1">
      <alignment horizontal="center" vertical="center"/>
      <protection locked="0"/>
    </xf>
    <xf numFmtId="0" fontId="8" fillId="0" borderId="14" xfId="0" applyFont="1" applyBorder="1" applyAlignment="1">
      <alignment horizontal="center" vertical="center" wrapText="1"/>
    </xf>
    <xf numFmtId="0" fontId="29" fillId="4" borderId="24" xfId="0" applyFont="1" applyFill="1" applyBorder="1" applyAlignment="1">
      <alignment horizontal="left" wrapText="1"/>
    </xf>
    <xf numFmtId="0" fontId="29" fillId="4" borderId="13" xfId="0" applyFont="1" applyFill="1" applyBorder="1" applyAlignment="1">
      <alignment horizontal="left" wrapText="1"/>
    </xf>
    <xf numFmtId="0" fontId="29" fillId="4" borderId="46" xfId="0" applyFont="1" applyFill="1" applyBorder="1" applyAlignment="1">
      <alignment horizontal="left" wrapText="1"/>
    </xf>
    <xf numFmtId="0" fontId="8" fillId="2" borderId="27" xfId="0" applyFont="1" applyFill="1" applyBorder="1" applyAlignment="1">
      <alignment horizontal="center"/>
    </xf>
    <xf numFmtId="166" fontId="45" fillId="0" borderId="121" xfId="0" applyNumberFormat="1" applyFont="1" applyBorder="1" applyAlignment="1">
      <alignment horizontal="center" vertical="center"/>
    </xf>
    <xf numFmtId="166" fontId="45" fillId="0" borderId="122" xfId="0" applyNumberFormat="1" applyFont="1" applyBorder="1" applyAlignment="1">
      <alignment horizontal="center" vertical="center"/>
    </xf>
    <xf numFmtId="166" fontId="45" fillId="0" borderId="13" xfId="0" applyNumberFormat="1" applyFont="1" applyBorder="1" applyAlignment="1">
      <alignment horizontal="center" vertical="center"/>
    </xf>
    <xf numFmtId="166" fontId="45" fillId="0" borderId="46" xfId="0" applyNumberFormat="1" applyFont="1" applyBorder="1" applyAlignment="1">
      <alignment horizontal="center" vertical="center"/>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23" xfId="0" applyFont="1" applyBorder="1" applyAlignment="1" applyProtection="1">
      <alignment horizontal="center" vertical="center" wrapText="1"/>
      <protection locked="0"/>
    </xf>
    <xf numFmtId="0" fontId="5" fillId="0" borderId="124" xfId="0" applyFont="1" applyBorder="1" applyAlignment="1" applyProtection="1">
      <alignment horizontal="center" vertical="center" wrapText="1"/>
      <protection locked="0"/>
    </xf>
    <xf numFmtId="0" fontId="23" fillId="2" borderId="24" xfId="0" applyFont="1" applyFill="1" applyBorder="1" applyAlignment="1">
      <alignment horizontal="left" vertical="center" wrapText="1"/>
    </xf>
    <xf numFmtId="0" fontId="23" fillId="2" borderId="13" xfId="0" applyFont="1" applyFill="1" applyBorder="1" applyAlignment="1">
      <alignment horizontal="left" vertical="center" wrapText="1"/>
    </xf>
    <xf numFmtId="0" fontId="23" fillId="2" borderId="46" xfId="0" applyFont="1" applyFill="1" applyBorder="1" applyAlignment="1">
      <alignment horizontal="left" vertical="center" wrapText="1"/>
    </xf>
    <xf numFmtId="0" fontId="5" fillId="0" borderId="7" xfId="0" applyFont="1" applyBorder="1" applyAlignment="1">
      <alignment horizontal="left" vertical="center"/>
    </xf>
    <xf numFmtId="0" fontId="5" fillId="0" borderId="34" xfId="0" applyFont="1" applyBorder="1" applyAlignment="1">
      <alignment horizontal="left" vertical="center"/>
    </xf>
    <xf numFmtId="166" fontId="5" fillId="0" borderId="34" xfId="0" applyNumberFormat="1" applyFont="1" applyBorder="1" applyAlignment="1" applyProtection="1">
      <alignment horizontal="center" vertical="center"/>
      <protection locked="0"/>
    </xf>
    <xf numFmtId="0" fontId="8" fillId="4" borderId="15" xfId="0" applyFont="1" applyFill="1" applyBorder="1" applyAlignment="1">
      <alignment horizontal="left" wrapText="1"/>
    </xf>
    <xf numFmtId="0" fontId="8" fillId="4" borderId="29" xfId="0" applyFont="1" applyFill="1" applyBorder="1" applyAlignment="1">
      <alignment horizontal="left"/>
    </xf>
    <xf numFmtId="0" fontId="8" fillId="4" borderId="30" xfId="0" applyFont="1" applyFill="1" applyBorder="1" applyAlignment="1">
      <alignment horizontal="left"/>
    </xf>
    <xf numFmtId="0" fontId="5" fillId="0" borderId="21" xfId="0" applyFont="1" applyBorder="1" applyAlignment="1" applyProtection="1">
      <alignment horizontal="center" vertical="center"/>
      <protection locked="0"/>
    </xf>
    <xf numFmtId="0" fontId="8" fillId="0" borderId="8" xfId="0" applyFont="1" applyBorder="1" applyAlignment="1">
      <alignment horizontal="center" vertical="center"/>
    </xf>
    <xf numFmtId="0" fontId="8" fillId="0" borderId="26" xfId="0" applyFont="1" applyBorder="1" applyAlignment="1">
      <alignment horizontal="center" vertical="center"/>
    </xf>
    <xf numFmtId="0" fontId="5" fillId="0" borderId="7"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19" fillId="4" borderId="31" xfId="0" applyFont="1" applyFill="1" applyBorder="1" applyAlignment="1">
      <alignment horizontal="center" vertical="center" wrapText="1"/>
    </xf>
    <xf numFmtId="0" fontId="19" fillId="4" borderId="37" xfId="0" applyFont="1" applyFill="1" applyBorder="1" applyAlignment="1">
      <alignment horizontal="center" vertical="center" wrapText="1"/>
    </xf>
    <xf numFmtId="0" fontId="19" fillId="4" borderId="55" xfId="0" applyFont="1" applyFill="1" applyBorder="1" applyAlignment="1">
      <alignment horizontal="center" vertical="center" wrapText="1"/>
    </xf>
    <xf numFmtId="166" fontId="5" fillId="0" borderId="5" xfId="0" applyNumberFormat="1" applyFont="1" applyBorder="1" applyAlignment="1" applyProtection="1">
      <alignment horizontal="center" vertical="center"/>
      <protection locked="0"/>
    </xf>
    <xf numFmtId="166" fontId="5" fillId="0" borderId="3" xfId="0" applyNumberFormat="1" applyFont="1" applyBorder="1" applyAlignment="1" applyProtection="1">
      <alignment horizontal="center" vertical="center"/>
      <protection locked="0"/>
    </xf>
    <xf numFmtId="0" fontId="5" fillId="0" borderId="22" xfId="0" applyFont="1" applyBorder="1" applyAlignment="1">
      <alignment horizontal="left" vertical="center" wrapText="1"/>
    </xf>
    <xf numFmtId="0" fontId="5" fillId="0" borderId="17" xfId="0" applyFont="1" applyBorder="1" applyAlignment="1">
      <alignment horizontal="left" vertical="center" wrapText="1"/>
    </xf>
    <xf numFmtId="0" fontId="5" fillId="0" borderId="26" xfId="0" applyFont="1" applyBorder="1" applyAlignment="1">
      <alignment horizontal="left" vertical="center" wrapText="1"/>
    </xf>
    <xf numFmtId="166" fontId="5" fillId="0" borderId="34" xfId="0" applyNumberFormat="1" applyFont="1" applyBorder="1" applyAlignment="1" applyProtection="1">
      <alignment horizontal="center"/>
      <protection locked="0"/>
    </xf>
    <xf numFmtId="0" fontId="8" fillId="0" borderId="1" xfId="0" applyFont="1" applyBorder="1" applyAlignment="1">
      <alignment horizontal="left"/>
    </xf>
    <xf numFmtId="0" fontId="8" fillId="0" borderId="35" xfId="0" applyFont="1" applyBorder="1" applyAlignment="1">
      <alignment horizontal="left"/>
    </xf>
    <xf numFmtId="0" fontId="8" fillId="0" borderId="44" xfId="0" applyFont="1" applyBorder="1" applyAlignment="1">
      <alignment horizontal="left"/>
    </xf>
    <xf numFmtId="0" fontId="8" fillId="0" borderId="14" xfId="0" applyFont="1" applyBorder="1" applyAlignment="1">
      <alignment horizontal="left"/>
    </xf>
    <xf numFmtId="0" fontId="8" fillId="0" borderId="36" xfId="0" applyFont="1" applyBorder="1" applyAlignment="1">
      <alignment horizontal="left"/>
    </xf>
    <xf numFmtId="0" fontId="12" fillId="0" borderId="20"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Alignment="1">
      <alignment horizontal="center" vertical="center"/>
    </xf>
    <xf numFmtId="0" fontId="12" fillId="0" borderId="91" xfId="0" applyFont="1" applyBorder="1" applyAlignment="1">
      <alignment horizontal="center" vertical="center"/>
    </xf>
    <xf numFmtId="0" fontId="12" fillId="0" borderId="24" xfId="0" applyFont="1" applyBorder="1" applyAlignment="1">
      <alignment horizontal="center" vertical="center"/>
    </xf>
    <xf numFmtId="0" fontId="12" fillId="0" borderId="13" xfId="0" applyFont="1" applyBorder="1" applyAlignment="1">
      <alignment horizontal="center" vertical="center"/>
    </xf>
    <xf numFmtId="0" fontId="12" fillId="0" borderId="97" xfId="0" applyFont="1" applyBorder="1" applyAlignment="1">
      <alignment horizontal="center" vertical="center"/>
    </xf>
    <xf numFmtId="166" fontId="47" fillId="0" borderId="120" xfId="0" applyNumberFormat="1" applyFont="1" applyBorder="1" applyAlignment="1">
      <alignment horizontal="center" vertical="center" wrapText="1"/>
    </xf>
    <xf numFmtId="166" fontId="47" fillId="0" borderId="121" xfId="0" applyNumberFormat="1" applyFont="1" applyBorder="1" applyAlignment="1">
      <alignment horizontal="center" vertical="center" wrapText="1"/>
    </xf>
    <xf numFmtId="166" fontId="47" fillId="0" borderId="45" xfId="0" applyNumberFormat="1" applyFont="1" applyBorder="1" applyAlignment="1">
      <alignment horizontal="center" vertical="center" wrapText="1"/>
    </xf>
    <xf numFmtId="166" fontId="47" fillId="0" borderId="13" xfId="0" applyNumberFormat="1" applyFont="1" applyBorder="1" applyAlignment="1">
      <alignment horizontal="center" vertical="center" wrapText="1"/>
    </xf>
    <xf numFmtId="0" fontId="5" fillId="0" borderId="45" xfId="0" applyFont="1" applyBorder="1" applyAlignment="1" applyProtection="1">
      <alignment horizontal="center" vertical="center" wrapText="1"/>
      <protection locked="0"/>
    </xf>
    <xf numFmtId="0" fontId="5" fillId="0" borderId="97" xfId="0" applyFont="1" applyBorder="1" applyAlignment="1" applyProtection="1">
      <alignment horizontal="center" vertical="center" wrapText="1"/>
      <protection locked="0"/>
    </xf>
    <xf numFmtId="0" fontId="5" fillId="5" borderId="40"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0" borderId="39" xfId="0" applyFont="1" applyBorder="1" applyAlignment="1">
      <alignment horizontal="left" vertical="center"/>
    </xf>
    <xf numFmtId="0" fontId="5" fillId="0" borderId="41" xfId="0" applyFont="1" applyBorder="1" applyAlignment="1">
      <alignment horizontal="left" vertical="center"/>
    </xf>
    <xf numFmtId="0" fontId="5" fillId="0" borderId="43" xfId="0" applyFont="1" applyBorder="1" applyAlignment="1" applyProtection="1">
      <alignment horizontal="left"/>
      <protection locked="0"/>
    </xf>
    <xf numFmtId="0" fontId="5" fillId="0" borderId="57" xfId="0" quotePrefix="1" applyFont="1" applyBorder="1" applyAlignment="1">
      <alignment horizontal="center" vertical="center" wrapText="1"/>
    </xf>
    <xf numFmtId="0" fontId="5" fillId="0" borderId="68" xfId="0" quotePrefix="1" applyFont="1" applyBorder="1" applyAlignment="1">
      <alignment horizontal="center" vertical="center" wrapText="1"/>
    </xf>
    <xf numFmtId="0" fontId="5" fillId="0" borderId="27" xfId="0" quotePrefix="1" applyFont="1" applyBorder="1" applyAlignment="1">
      <alignment horizontal="center" vertical="center" wrapText="1"/>
    </xf>
    <xf numFmtId="0" fontId="12" fillId="0" borderId="48" xfId="0" applyFont="1" applyBorder="1" applyAlignment="1">
      <alignment horizontal="left" vertical="top" wrapText="1"/>
    </xf>
    <xf numFmtId="0" fontId="12" fillId="0" borderId="21" xfId="0" applyFont="1" applyBorder="1" applyAlignment="1">
      <alignment horizontal="left" vertical="top" wrapText="1"/>
    </xf>
    <xf numFmtId="0" fontId="6" fillId="0" borderId="114" xfId="0" applyFont="1" applyBorder="1" applyAlignment="1" applyProtection="1">
      <alignment horizontal="left" vertical="top" wrapText="1"/>
      <protection locked="0"/>
    </xf>
    <xf numFmtId="0" fontId="6" fillId="0" borderId="115" xfId="0" applyFont="1" applyBorder="1" applyAlignment="1" applyProtection="1">
      <alignment horizontal="left" vertical="top" wrapText="1"/>
      <protection locked="0"/>
    </xf>
    <xf numFmtId="0" fontId="6" fillId="0" borderId="116" xfId="0" applyFont="1" applyBorder="1" applyAlignment="1" applyProtection="1">
      <alignment horizontal="left" vertical="top" wrapText="1"/>
      <protection locked="0"/>
    </xf>
    <xf numFmtId="0" fontId="12" fillId="0" borderId="99" xfId="0" applyFont="1" applyBorder="1" applyAlignment="1">
      <alignment horizontal="left" vertical="center" wrapText="1"/>
    </xf>
    <xf numFmtId="0" fontId="12" fillId="0" borderId="8" xfId="0" applyFont="1" applyBorder="1" applyAlignment="1">
      <alignment horizontal="left" vertical="center" wrapText="1"/>
    </xf>
    <xf numFmtId="0" fontId="12" fillId="0" borderId="17" xfId="0" applyFont="1" applyBorder="1" applyAlignment="1">
      <alignment horizontal="left" vertical="center" wrapText="1"/>
    </xf>
    <xf numFmtId="0" fontId="12" fillId="0" borderId="28" xfId="0" applyFont="1" applyBorder="1" applyAlignment="1">
      <alignment horizontal="left" vertical="center" wrapText="1"/>
    </xf>
    <xf numFmtId="0" fontId="12" fillId="0" borderId="26" xfId="0" applyFont="1" applyBorder="1" applyAlignment="1">
      <alignment horizontal="left" vertical="center" wrapText="1"/>
    </xf>
    <xf numFmtId="0" fontId="5" fillId="0" borderId="35" xfId="0" applyFont="1" applyBorder="1" applyAlignment="1">
      <alignment horizontal="left" vertical="center" wrapText="1"/>
    </xf>
    <xf numFmtId="0" fontId="12" fillId="0" borderId="35" xfId="0" applyFont="1" applyBorder="1" applyAlignment="1">
      <alignment horizontal="left" vertical="center" wrapText="1"/>
    </xf>
    <xf numFmtId="0" fontId="12" fillId="0" borderId="5" xfId="0" applyFont="1" applyBorder="1" applyAlignment="1">
      <alignment horizontal="left" vertical="center" wrapText="1"/>
    </xf>
    <xf numFmtId="0" fontId="12" fillId="0" borderId="34" xfId="0" applyFont="1" applyBorder="1" applyAlignment="1">
      <alignment horizontal="left" vertical="center" wrapText="1"/>
    </xf>
    <xf numFmtId="0" fontId="19" fillId="3" borderId="31" xfId="0" applyFont="1" applyFill="1" applyBorder="1" applyAlignment="1">
      <alignment horizontal="left" wrapText="1"/>
    </xf>
    <xf numFmtId="0" fontId="19" fillId="3" borderId="37" xfId="0" applyFont="1" applyFill="1" applyBorder="1" applyAlignment="1">
      <alignment horizontal="left" wrapText="1"/>
    </xf>
    <xf numFmtId="0" fontId="5" fillId="2" borderId="29" xfId="0" applyFont="1" applyFill="1" applyBorder="1" applyAlignment="1">
      <alignment horizontal="left" vertical="top" wrapText="1"/>
    </xf>
    <xf numFmtId="0" fontId="8" fillId="3" borderId="29"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21" fillId="0" borderId="31" xfId="0" applyFont="1" applyBorder="1" applyAlignment="1">
      <alignment horizontal="center" vertical="center"/>
    </xf>
    <xf numFmtId="0" fontId="21" fillId="0" borderId="37" xfId="0" applyFont="1" applyBorder="1" applyAlignment="1">
      <alignment horizontal="center" vertical="center"/>
    </xf>
    <xf numFmtId="0" fontId="19" fillId="3" borderId="38" xfId="0" applyFont="1" applyFill="1" applyBorder="1" applyAlignment="1">
      <alignment horizontal="left" wrapText="1"/>
    </xf>
    <xf numFmtId="16" fontId="12" fillId="0" borderId="57" xfId="0" quotePrefix="1" applyNumberFormat="1" applyFont="1" applyBorder="1" applyAlignment="1">
      <alignment horizontal="center" vertical="center"/>
    </xf>
    <xf numFmtId="16" fontId="12" fillId="0" borderId="27" xfId="0" quotePrefix="1"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3" borderId="13" xfId="0" applyFont="1" applyFill="1" applyBorder="1" applyAlignment="1">
      <alignment horizontal="left" vertical="center" wrapText="1"/>
    </xf>
    <xf numFmtId="0" fontId="5" fillId="3" borderId="46" xfId="0" applyFont="1" applyFill="1" applyBorder="1" applyAlignment="1">
      <alignment horizontal="left" vertical="center" wrapText="1"/>
    </xf>
    <xf numFmtId="16" fontId="12" fillId="0" borderId="59" xfId="0" quotePrefix="1" applyNumberFormat="1" applyFont="1" applyBorder="1" applyAlignment="1">
      <alignment horizontal="center" vertical="center"/>
    </xf>
    <xf numFmtId="0" fontId="5" fillId="0" borderId="61" xfId="0" applyFont="1" applyBorder="1" applyAlignment="1">
      <alignment horizontal="left" vertical="center" wrapText="1"/>
    </xf>
    <xf numFmtId="0" fontId="5" fillId="0" borderId="29" xfId="0" applyFont="1" applyBorder="1" applyAlignment="1">
      <alignment horizontal="left" vertical="center" wrapText="1"/>
    </xf>
    <xf numFmtId="0" fontId="5" fillId="0" borderId="62" xfId="0" applyFont="1" applyBorder="1" applyAlignment="1">
      <alignment horizontal="left" vertical="center" wrapText="1"/>
    </xf>
    <xf numFmtId="0" fontId="5" fillId="0" borderId="48" xfId="0" applyFont="1" applyBorder="1" applyAlignment="1">
      <alignment horizontal="left" vertical="center" wrapText="1"/>
    </xf>
    <xf numFmtId="0" fontId="5" fillId="0" borderId="21"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49" fontId="5" fillId="0" borderId="68" xfId="0" quotePrefix="1" applyNumberFormat="1" applyFont="1" applyBorder="1" applyAlignment="1">
      <alignment horizontal="center" vertical="center"/>
    </xf>
    <xf numFmtId="49" fontId="12" fillId="0" borderId="64" xfId="0" quotePrefix="1" applyNumberFormat="1" applyFont="1" applyBorder="1" applyAlignment="1">
      <alignment horizontal="center" vertical="center"/>
    </xf>
    <xf numFmtId="0" fontId="5" fillId="0" borderId="45" xfId="0" applyFont="1" applyBorder="1" applyAlignment="1">
      <alignment horizontal="left" vertical="center" wrapText="1"/>
    </xf>
    <xf numFmtId="0" fontId="5" fillId="0" borderId="97" xfId="0" applyFont="1" applyBorder="1" applyAlignment="1">
      <alignment horizontal="left" vertical="center" wrapText="1"/>
    </xf>
    <xf numFmtId="0" fontId="12" fillId="0" borderId="96" xfId="0" applyFont="1" applyBorder="1" applyAlignment="1">
      <alignment horizontal="left" vertical="center" wrapText="1"/>
    </xf>
    <xf numFmtId="0" fontId="12" fillId="0" borderId="0" xfId="0" applyFont="1" applyAlignment="1">
      <alignment horizontal="left" wrapText="1"/>
    </xf>
    <xf numFmtId="0" fontId="10" fillId="0" borderId="0" xfId="0" applyFont="1" applyAlignment="1">
      <alignment horizontal="left"/>
    </xf>
    <xf numFmtId="0" fontId="12" fillId="0" borderId="111" xfId="0" applyFont="1" applyBorder="1" applyAlignment="1">
      <alignment horizontal="left" vertical="center" wrapText="1"/>
    </xf>
    <xf numFmtId="0" fontId="12" fillId="0" borderId="125" xfId="0" applyFont="1" applyBorder="1" applyAlignment="1">
      <alignment horizontal="left" vertical="center" wrapText="1"/>
    </xf>
    <xf numFmtId="0" fontId="12" fillId="0" borderId="113" xfId="0" applyFont="1" applyBorder="1" applyAlignment="1">
      <alignment horizontal="left" vertical="center" wrapText="1"/>
    </xf>
    <xf numFmtId="0" fontId="9" fillId="0" borderId="0" xfId="0" applyFont="1" applyAlignment="1">
      <alignment horizontal="left" vertical="top" wrapText="1"/>
    </xf>
    <xf numFmtId="0" fontId="5" fillId="0" borderId="8" xfId="2" applyBorder="1" applyAlignment="1" applyProtection="1">
      <alignment horizontal="left" vertical="top" wrapText="1"/>
      <protection locked="0"/>
    </xf>
    <xf numFmtId="0" fontId="5" fillId="0" borderId="28" xfId="2" applyBorder="1" applyAlignment="1" applyProtection="1">
      <alignment horizontal="left" vertical="top" wrapText="1"/>
      <protection locked="0"/>
    </xf>
    <xf numFmtId="0" fontId="5" fillId="0" borderId="48" xfId="2" applyBorder="1" applyAlignment="1">
      <alignment horizontal="left" vertical="top" wrapText="1"/>
    </xf>
    <xf numFmtId="0" fontId="5" fillId="0" borderId="9" xfId="2" applyBorder="1" applyAlignment="1">
      <alignment horizontal="left" vertical="top" wrapText="1"/>
    </xf>
    <xf numFmtId="0" fontId="5" fillId="0" borderId="49" xfId="2" applyBorder="1" applyAlignment="1">
      <alignment horizontal="left" vertical="top" wrapText="1"/>
    </xf>
    <xf numFmtId="0" fontId="5" fillId="0" borderId="51" xfId="2" applyBorder="1" applyAlignment="1">
      <alignment horizontal="left" vertical="top" wrapText="1"/>
    </xf>
    <xf numFmtId="0" fontId="5" fillId="0" borderId="52" xfId="2" applyBorder="1" applyAlignment="1">
      <alignment horizontal="left" vertical="top" wrapText="1"/>
    </xf>
    <xf numFmtId="0" fontId="5" fillId="0" borderId="53" xfId="2" applyBorder="1" applyAlignment="1">
      <alignment horizontal="left" vertical="top" wrapText="1"/>
    </xf>
    <xf numFmtId="0" fontId="5" fillId="0" borderId="8" xfId="2" applyBorder="1" applyAlignment="1">
      <alignment horizontal="left" vertical="top" wrapText="1"/>
    </xf>
    <xf numFmtId="0" fontId="5" fillId="0" borderId="17" xfId="2" applyBorder="1" applyAlignment="1">
      <alignment horizontal="left" vertical="top" wrapText="1"/>
    </xf>
    <xf numFmtId="0" fontId="5" fillId="0" borderId="28" xfId="2" applyBorder="1" applyAlignment="1">
      <alignment horizontal="left" vertical="top" wrapText="1"/>
    </xf>
    <xf numFmtId="0" fontId="5" fillId="0" borderId="56" xfId="2" applyBorder="1" applyAlignment="1">
      <alignment horizontal="left" vertical="top" wrapText="1"/>
    </xf>
    <xf numFmtId="0" fontId="5" fillId="0" borderId="37" xfId="2" applyBorder="1" applyAlignment="1">
      <alignment horizontal="left" vertical="top" wrapText="1"/>
    </xf>
    <xf numFmtId="0" fontId="5" fillId="0" borderId="55" xfId="2" applyBorder="1" applyAlignment="1">
      <alignment horizontal="left" vertical="top" wrapText="1"/>
    </xf>
    <xf numFmtId="0" fontId="5" fillId="0" borderId="108" xfId="2" applyBorder="1" applyAlignment="1">
      <alignment horizontal="left" vertical="top" wrapText="1"/>
    </xf>
    <xf numFmtId="0" fontId="5" fillId="0" borderId="109" xfId="2" applyBorder="1" applyAlignment="1">
      <alignment horizontal="left" vertical="top" wrapText="1"/>
    </xf>
    <xf numFmtId="0" fontId="5" fillId="0" borderId="110" xfId="2" applyBorder="1" applyAlignment="1">
      <alignment horizontal="left" vertical="top" wrapText="1"/>
    </xf>
    <xf numFmtId="0" fontId="5" fillId="0" borderId="0" xfId="2"/>
    <xf numFmtId="0" fontId="5" fillId="0" borderId="44" xfId="2" applyBorder="1" applyAlignment="1">
      <alignment horizontal="left" vertical="top" wrapText="1"/>
    </xf>
    <xf numFmtId="0" fontId="5" fillId="0" borderId="14" xfId="2" applyBorder="1" applyAlignment="1">
      <alignment horizontal="left" vertical="top" wrapText="1"/>
    </xf>
    <xf numFmtId="0" fontId="5" fillId="0" borderId="25" xfId="2" applyBorder="1" applyAlignment="1">
      <alignment horizontal="left" vertical="top" wrapText="1"/>
    </xf>
    <xf numFmtId="0" fontId="5" fillId="0" borderId="11" xfId="2" applyBorder="1" applyAlignment="1">
      <alignment horizontal="left" vertical="top" wrapText="1"/>
    </xf>
    <xf numFmtId="0" fontId="5" fillId="0" borderId="10" xfId="2" applyBorder="1" applyAlignment="1">
      <alignment horizontal="left" vertical="top" wrapText="1"/>
    </xf>
    <xf numFmtId="0" fontId="5" fillId="0" borderId="47" xfId="2" applyBorder="1" applyAlignment="1">
      <alignment horizontal="left" vertical="top" wrapText="1"/>
    </xf>
    <xf numFmtId="0" fontId="8" fillId="3" borderId="37" xfId="2" applyFont="1" applyFill="1" applyBorder="1" applyAlignment="1">
      <alignment horizontal="left" vertical="center" wrapText="1"/>
    </xf>
    <xf numFmtId="0" fontId="0" fillId="0" borderId="5" xfId="0" applyBorder="1" applyAlignment="1">
      <alignment horizontal="left" vertical="top" wrapText="1"/>
    </xf>
    <xf numFmtId="0" fontId="5" fillId="0" borderId="65" xfId="2" applyBorder="1" applyAlignment="1">
      <alignment horizontal="left" vertical="top" wrapText="1"/>
    </xf>
    <xf numFmtId="0" fontId="5" fillId="0" borderId="66" xfId="2" applyBorder="1" applyAlignment="1">
      <alignment horizontal="left" vertical="top" wrapText="1"/>
    </xf>
    <xf numFmtId="0" fontId="5" fillId="0" borderId="67" xfId="2" applyBorder="1" applyAlignment="1">
      <alignment horizontal="left" vertical="top" wrapText="1"/>
    </xf>
    <xf numFmtId="0" fontId="30" fillId="3" borderId="37" xfId="2" applyFont="1" applyFill="1" applyBorder="1" applyAlignment="1">
      <alignment horizontal="left" vertical="center" wrapText="1"/>
    </xf>
    <xf numFmtId="0" fontId="30" fillId="3" borderId="38" xfId="2" applyFont="1" applyFill="1" applyBorder="1" applyAlignment="1">
      <alignment horizontal="left" vertical="center" wrapText="1"/>
    </xf>
    <xf numFmtId="0" fontId="5" fillId="0" borderId="42" xfId="2" applyBorder="1" applyAlignment="1" applyProtection="1">
      <alignment horizontal="left" vertical="top" wrapText="1"/>
      <protection locked="0"/>
    </xf>
    <xf numFmtId="0" fontId="5" fillId="0" borderId="43" xfId="2" applyBorder="1" applyAlignment="1" applyProtection="1">
      <alignment horizontal="left" vertical="top" wrapText="1"/>
      <protection locked="0"/>
    </xf>
    <xf numFmtId="0" fontId="5" fillId="0" borderId="11" xfId="2" applyBorder="1" applyAlignment="1" applyProtection="1">
      <alignment horizontal="left" vertical="top" wrapText="1"/>
      <protection locked="0"/>
    </xf>
    <xf numFmtId="0" fontId="5" fillId="0" borderId="47" xfId="2" applyBorder="1" applyAlignment="1" applyProtection="1">
      <alignment horizontal="left" vertical="top" wrapText="1"/>
      <protection locked="0"/>
    </xf>
    <xf numFmtId="16" fontId="5" fillId="0" borderId="39" xfId="2" quotePrefix="1" applyNumberFormat="1" applyBorder="1" applyAlignment="1">
      <alignment horizontal="left" vertical="center"/>
    </xf>
    <xf numFmtId="16" fontId="5" fillId="0" borderId="41" xfId="2" quotePrefix="1" applyNumberFormat="1" applyBorder="1" applyAlignment="1">
      <alignment horizontal="left" vertical="center"/>
    </xf>
    <xf numFmtId="0" fontId="5" fillId="0" borderId="40" xfId="2" applyBorder="1" applyAlignment="1">
      <alignment horizontal="left" vertical="center" wrapText="1"/>
    </xf>
    <xf numFmtId="0" fontId="5" fillId="0" borderId="43" xfId="2" applyBorder="1" applyAlignment="1">
      <alignment horizontal="left" vertical="center" wrapText="1"/>
    </xf>
    <xf numFmtId="0" fontId="5" fillId="0" borderId="42" xfId="2" applyBorder="1" applyAlignment="1">
      <alignment horizontal="left" vertical="top" wrapText="1"/>
    </xf>
    <xf numFmtId="0" fontId="5" fillId="0" borderId="40" xfId="2" applyBorder="1" applyAlignment="1">
      <alignment horizontal="left" vertical="top" wrapText="1"/>
    </xf>
    <xf numFmtId="0" fontId="5" fillId="0" borderId="41" xfId="2" applyBorder="1" applyAlignment="1">
      <alignment horizontal="left" vertical="top" wrapText="1"/>
    </xf>
    <xf numFmtId="0" fontId="8" fillId="3" borderId="38" xfId="2" applyFont="1" applyFill="1" applyBorder="1" applyAlignment="1">
      <alignment horizontal="left" vertical="center" wrapText="1"/>
    </xf>
    <xf numFmtId="0" fontId="5" fillId="0" borderId="26" xfId="2" applyBorder="1" applyAlignment="1">
      <alignment horizontal="left" vertical="top" wrapText="1"/>
    </xf>
    <xf numFmtId="16" fontId="5" fillId="0" borderId="59" xfId="2" quotePrefix="1" applyNumberFormat="1" applyBorder="1" applyAlignment="1">
      <alignment horizontal="center" vertical="top"/>
    </xf>
    <xf numFmtId="16" fontId="5" fillId="0" borderId="68" xfId="2" quotePrefix="1" applyNumberFormat="1" applyBorder="1" applyAlignment="1">
      <alignment horizontal="center" vertical="top"/>
    </xf>
    <xf numFmtId="0" fontId="5" fillId="0" borderId="27" xfId="2" applyBorder="1" applyAlignment="1">
      <alignment horizontal="center" vertical="top"/>
    </xf>
    <xf numFmtId="0" fontId="5" fillId="0" borderId="5" xfId="2" applyBorder="1" applyAlignment="1">
      <alignment horizontal="left" vertical="top" wrapText="1"/>
    </xf>
    <xf numFmtId="0" fontId="19" fillId="3" borderId="31" xfId="0" applyFont="1" applyFill="1" applyBorder="1" applyAlignment="1">
      <alignment horizontal="left"/>
    </xf>
    <xf numFmtId="0" fontId="8" fillId="3" borderId="37" xfId="2" applyFont="1" applyFill="1" applyBorder="1" applyAlignment="1">
      <alignment horizontal="left" vertical="center"/>
    </xf>
    <xf numFmtId="0" fontId="8" fillId="3" borderId="38" xfId="2" applyFont="1" applyFill="1" applyBorder="1" applyAlignment="1">
      <alignment horizontal="left" vertical="center"/>
    </xf>
    <xf numFmtId="16" fontId="5" fillId="0" borderId="35" xfId="2" quotePrefix="1" applyNumberFormat="1" applyBorder="1" applyAlignment="1">
      <alignment horizontal="left" vertical="top" wrapText="1"/>
    </xf>
    <xf numFmtId="16" fontId="5" fillId="0" borderId="35" xfId="2" quotePrefix="1" applyNumberFormat="1" applyBorder="1" applyAlignment="1">
      <alignment horizontal="left" vertical="top"/>
    </xf>
    <xf numFmtId="16" fontId="5" fillId="0" borderId="60" xfId="2" quotePrefix="1" applyNumberFormat="1" applyBorder="1" applyAlignment="1">
      <alignment horizontal="left" vertical="top"/>
    </xf>
    <xf numFmtId="0" fontId="5" fillId="0" borderId="59" xfId="0" applyFont="1" applyBorder="1" applyAlignment="1">
      <alignment horizontal="center" vertical="top"/>
    </xf>
    <xf numFmtId="0" fontId="5" fillId="0" borderId="68" xfId="0" applyFont="1" applyBorder="1" applyAlignment="1">
      <alignment horizontal="center" vertical="top"/>
    </xf>
    <xf numFmtId="0" fontId="5" fillId="0" borderId="64" xfId="0" applyFont="1" applyBorder="1" applyAlignment="1">
      <alignment horizontal="center" vertical="top"/>
    </xf>
    <xf numFmtId="0" fontId="5" fillId="0" borderId="11" xfId="2" applyBorder="1" applyAlignment="1">
      <alignment horizontal="left" vertical="center" wrapText="1"/>
    </xf>
    <xf numFmtId="0" fontId="5" fillId="0" borderId="10" xfId="2" applyBorder="1" applyAlignment="1">
      <alignment horizontal="left" vertical="center" wrapText="1"/>
    </xf>
    <xf numFmtId="0" fontId="5" fillId="0" borderId="45" xfId="2" applyBorder="1" applyAlignment="1">
      <alignment horizontal="left" vertical="center" wrapText="1"/>
    </xf>
    <xf numFmtId="0" fontId="5" fillId="0" borderId="13" xfId="2" applyBorder="1" applyAlignment="1">
      <alignment horizontal="left" vertical="center" wrapText="1"/>
    </xf>
    <xf numFmtId="0" fontId="5" fillId="0" borderId="47" xfId="0" applyFont="1" applyBorder="1" applyAlignment="1" applyProtection="1">
      <alignment horizontal="center" vertical="center" wrapText="1"/>
      <protection locked="0"/>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0" fillId="0" borderId="8" xfId="0" applyBorder="1" applyAlignment="1">
      <alignment horizontal="left"/>
    </xf>
    <xf numFmtId="0" fontId="0" fillId="0" borderId="17" xfId="0" applyBorder="1" applyAlignment="1">
      <alignment horizontal="left"/>
    </xf>
    <xf numFmtId="0" fontId="0" fillId="0" borderId="26" xfId="0" applyBorder="1" applyAlignment="1">
      <alignment horizontal="left"/>
    </xf>
    <xf numFmtId="0" fontId="5" fillId="0" borderId="61" xfId="2" applyBorder="1" applyAlignment="1">
      <alignment horizontal="left" vertical="top" wrapText="1"/>
    </xf>
    <xf numFmtId="0" fontId="5" fillId="0" borderId="29" xfId="2" applyBorder="1" applyAlignment="1">
      <alignment horizontal="left" vertical="top" wrapText="1"/>
    </xf>
    <xf numFmtId="0" fontId="5" fillId="0" borderId="30" xfId="2" applyBorder="1" applyAlignment="1">
      <alignment horizontal="left" vertical="top" wrapText="1"/>
    </xf>
    <xf numFmtId="0" fontId="5" fillId="0" borderId="48" xfId="2" applyBorder="1" applyAlignment="1">
      <alignment horizontal="center" vertical="top" wrapText="1"/>
    </xf>
    <xf numFmtId="0" fontId="5" fillId="0" borderId="9" xfId="2" applyBorder="1" applyAlignment="1">
      <alignment horizontal="center" vertical="top" wrapText="1"/>
    </xf>
    <xf numFmtId="0" fontId="8" fillId="3" borderId="35" xfId="2" applyFont="1" applyFill="1" applyBorder="1" applyAlignment="1">
      <alignment horizontal="center" vertical="top" wrapText="1"/>
    </xf>
    <xf numFmtId="0" fontId="8" fillId="3" borderId="2" xfId="2" applyFont="1" applyFill="1" applyBorder="1" applyAlignment="1">
      <alignment horizontal="center" vertical="top" wrapText="1"/>
    </xf>
    <xf numFmtId="0" fontId="6" fillId="4" borderId="8" xfId="0" applyFont="1" applyFill="1" applyBorder="1" applyAlignment="1" applyProtection="1">
      <alignment horizontal="center" vertical="center"/>
      <protection locked="0"/>
    </xf>
    <xf numFmtId="0" fontId="6" fillId="4" borderId="28" xfId="0" applyFont="1" applyFill="1" applyBorder="1" applyAlignment="1" applyProtection="1">
      <alignment horizontal="center" vertical="center"/>
      <protection locked="0"/>
    </xf>
    <xf numFmtId="0" fontId="0" fillId="4" borderId="44" xfId="0" applyFill="1" applyBorder="1" applyAlignment="1">
      <alignment horizontal="left" vertical="center"/>
    </xf>
    <xf numFmtId="0" fontId="0" fillId="4" borderId="14" xfId="0" applyFill="1" applyBorder="1" applyAlignment="1">
      <alignment horizontal="left" vertical="center"/>
    </xf>
    <xf numFmtId="0" fontId="6" fillId="4" borderId="44" xfId="0" applyFont="1" applyFill="1" applyBorder="1" applyAlignment="1" applyProtection="1">
      <alignment horizontal="center"/>
      <protection locked="0"/>
    </xf>
    <xf numFmtId="0" fontId="6" fillId="4" borderId="25" xfId="0" applyFont="1" applyFill="1" applyBorder="1" applyAlignment="1" applyProtection="1">
      <alignment horizontal="center"/>
      <protection locked="0"/>
    </xf>
    <xf numFmtId="0" fontId="6" fillId="4" borderId="14" xfId="0" applyFont="1" applyFill="1" applyBorder="1" applyAlignment="1">
      <alignment horizontal="right" wrapText="1"/>
    </xf>
    <xf numFmtId="0" fontId="6" fillId="4" borderId="36" xfId="0" applyFont="1" applyFill="1" applyBorder="1" applyAlignment="1">
      <alignment horizontal="right" wrapText="1"/>
    </xf>
    <xf numFmtId="0" fontId="6" fillId="4" borderId="5" xfId="0" applyFont="1" applyFill="1" applyBorder="1" applyAlignment="1">
      <alignment horizontal="left" vertical="center" wrapText="1"/>
    </xf>
    <xf numFmtId="0" fontId="6" fillId="4" borderId="48" xfId="0" applyFont="1" applyFill="1" applyBorder="1" applyAlignment="1">
      <alignment horizontal="center" vertical="center" wrapText="1"/>
    </xf>
    <xf numFmtId="0" fontId="6" fillId="4" borderId="21" xfId="0" applyFont="1" applyFill="1" applyBorder="1" applyAlignment="1">
      <alignment horizontal="center" vertical="center" wrapText="1"/>
    </xf>
    <xf numFmtId="165" fontId="6" fillId="0" borderId="8" xfId="0" applyNumberFormat="1" applyFont="1" applyBorder="1" applyAlignment="1">
      <alignment horizontal="center" vertical="top" wrapText="1"/>
    </xf>
    <xf numFmtId="165" fontId="6" fillId="0" borderId="26" xfId="0" applyNumberFormat="1" applyFont="1" applyBorder="1" applyAlignment="1">
      <alignment horizontal="center" vertical="top" wrapText="1"/>
    </xf>
    <xf numFmtId="165" fontId="6" fillId="4" borderId="8" xfId="0" applyNumberFormat="1" applyFont="1" applyFill="1" applyBorder="1" applyAlignment="1">
      <alignment horizontal="center" vertical="top" wrapText="1"/>
    </xf>
    <xf numFmtId="165" fontId="6" fillId="4" borderId="26" xfId="0" applyNumberFormat="1" applyFont="1" applyFill="1" applyBorder="1" applyAlignment="1">
      <alignment horizontal="center" vertical="top" wrapText="1"/>
    </xf>
    <xf numFmtId="0" fontId="6" fillId="4" borderId="26" xfId="0" applyFont="1" applyFill="1" applyBorder="1" applyAlignment="1" applyProtection="1">
      <alignment horizontal="center" vertical="center"/>
      <protection locked="0"/>
    </xf>
    <xf numFmtId="0" fontId="6" fillId="4" borderId="8" xfId="0" applyFont="1" applyFill="1" applyBorder="1" applyAlignment="1" applyProtection="1">
      <alignment horizontal="left" vertical="top" wrapText="1"/>
      <protection locked="0"/>
    </xf>
    <xf numFmtId="0" fontId="6" fillId="4" borderId="17" xfId="0" applyFont="1" applyFill="1" applyBorder="1" applyAlignment="1" applyProtection="1">
      <alignment horizontal="left" vertical="top" wrapText="1"/>
      <protection locked="0"/>
    </xf>
    <xf numFmtId="0" fontId="6" fillId="4" borderId="28" xfId="0" applyFont="1" applyFill="1" applyBorder="1" applyAlignment="1" applyProtection="1">
      <alignment horizontal="left" vertical="top" wrapText="1"/>
      <protection locked="0"/>
    </xf>
    <xf numFmtId="0" fontId="6" fillId="4" borderId="6" xfId="0" applyFont="1" applyFill="1" applyBorder="1" applyAlignment="1">
      <alignment horizontal="left" vertical="center" wrapText="1"/>
    </xf>
    <xf numFmtId="0" fontId="5" fillId="4" borderId="2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19" fillId="3" borderId="15" xfId="0" applyFont="1" applyFill="1" applyBorder="1" applyAlignment="1">
      <alignment horizontal="left" vertical="center"/>
    </xf>
    <xf numFmtId="0" fontId="19" fillId="3" borderId="29" xfId="0" applyFont="1" applyFill="1" applyBorder="1" applyAlignment="1">
      <alignment horizontal="left" vertical="center"/>
    </xf>
    <xf numFmtId="0" fontId="19" fillId="3" borderId="30" xfId="0" applyFont="1" applyFill="1" applyBorder="1" applyAlignment="1">
      <alignment horizontal="left" vertical="center"/>
    </xf>
    <xf numFmtId="0" fontId="33" fillId="4" borderId="23" xfId="0" applyFont="1" applyFill="1" applyBorder="1" applyAlignment="1">
      <alignment horizontal="left" vertical="center" wrapText="1"/>
    </xf>
    <xf numFmtId="0" fontId="33" fillId="4" borderId="14" xfId="0" applyFont="1" applyFill="1" applyBorder="1" applyAlignment="1">
      <alignment horizontal="left" vertical="center" wrapText="1"/>
    </xf>
    <xf numFmtId="0" fontId="33" fillId="4" borderId="36" xfId="0" applyFont="1" applyFill="1" applyBorder="1" applyAlignment="1">
      <alignment horizontal="left" vertical="center" wrapText="1"/>
    </xf>
    <xf numFmtId="0" fontId="27" fillId="4" borderId="18" xfId="0" applyFont="1" applyFill="1" applyBorder="1" applyAlignment="1" applyProtection="1">
      <alignment horizontal="center" vertical="center"/>
      <protection locked="0"/>
    </xf>
    <xf numFmtId="0" fontId="27" fillId="4" borderId="0" xfId="0" applyFont="1" applyFill="1" applyAlignment="1" applyProtection="1">
      <alignment horizontal="center" vertical="center"/>
      <protection locked="0"/>
    </xf>
    <xf numFmtId="0" fontId="27" fillId="4" borderId="24" xfId="0" applyFont="1" applyFill="1" applyBorder="1" applyAlignment="1" applyProtection="1">
      <alignment horizontal="center" vertical="center"/>
      <protection locked="0"/>
    </xf>
    <xf numFmtId="0" fontId="27" fillId="4" borderId="13"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6" fillId="4" borderId="48" xfId="0" applyFont="1" applyFill="1" applyBorder="1" applyAlignment="1" applyProtection="1">
      <alignment horizontal="center" vertical="center"/>
      <protection locked="0"/>
    </xf>
    <xf numFmtId="0" fontId="6" fillId="4" borderId="21" xfId="0" applyFont="1" applyFill="1" applyBorder="1" applyAlignment="1" applyProtection="1">
      <alignment horizontal="center" vertical="center"/>
      <protection locked="0"/>
    </xf>
    <xf numFmtId="0" fontId="6" fillId="4" borderId="8"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8" xfId="0" applyFont="1" applyFill="1" applyBorder="1" applyAlignment="1" applyProtection="1">
      <alignment horizontal="left" vertical="center" wrapText="1"/>
      <protection locked="0"/>
    </xf>
    <xf numFmtId="0" fontId="6" fillId="4" borderId="17" xfId="0" applyFont="1" applyFill="1" applyBorder="1" applyAlignment="1" applyProtection="1">
      <alignment horizontal="left" vertical="center" wrapText="1"/>
      <protection locked="0"/>
    </xf>
    <xf numFmtId="0" fontId="6" fillId="4" borderId="28" xfId="0" applyFont="1" applyFill="1" applyBorder="1" applyAlignment="1" applyProtection="1">
      <alignment horizontal="left" vertical="center" wrapText="1"/>
      <protection locked="0"/>
    </xf>
    <xf numFmtId="0" fontId="33" fillId="4" borderId="44" xfId="0" applyFont="1" applyFill="1" applyBorder="1" applyAlignment="1">
      <alignment horizontal="center" vertical="center" wrapText="1"/>
    </xf>
    <xf numFmtId="0" fontId="33" fillId="4" borderId="36" xfId="0" applyFont="1" applyFill="1" applyBorder="1" applyAlignment="1">
      <alignment horizontal="center" vertical="center" wrapText="1"/>
    </xf>
    <xf numFmtId="0" fontId="6" fillId="4" borderId="39" xfId="0" applyFont="1" applyFill="1" applyBorder="1" applyAlignment="1">
      <alignment horizontal="left" vertical="center" wrapText="1"/>
    </xf>
    <xf numFmtId="0" fontId="6" fillId="4" borderId="41" xfId="0" applyFont="1" applyFill="1" applyBorder="1" applyAlignment="1">
      <alignment horizontal="left" vertical="center" wrapText="1"/>
    </xf>
    <xf numFmtId="0" fontId="6" fillId="4" borderId="22" xfId="0" applyFont="1" applyFill="1" applyBorder="1" applyAlignment="1">
      <alignment horizontal="left" vertical="center" wrapText="1"/>
    </xf>
    <xf numFmtId="0" fontId="6" fillId="4" borderId="8" xfId="0" applyFont="1" applyFill="1" applyBorder="1" applyAlignment="1" applyProtection="1">
      <alignment horizontal="left" vertical="center"/>
      <protection locked="0"/>
    </xf>
    <xf numFmtId="0" fontId="6" fillId="4" borderId="17" xfId="0" applyFont="1" applyFill="1" applyBorder="1" applyAlignment="1" applyProtection="1">
      <alignment horizontal="left" vertical="center"/>
      <protection locked="0"/>
    </xf>
    <xf numFmtId="0" fontId="6" fillId="4" borderId="28" xfId="0" applyFont="1" applyFill="1" applyBorder="1" applyAlignment="1" applyProtection="1">
      <alignment horizontal="left" vertical="center"/>
      <protection locked="0"/>
    </xf>
    <xf numFmtId="0" fontId="0" fillId="4" borderId="42" xfId="0" applyFill="1" applyBorder="1" applyAlignment="1">
      <alignment horizontal="center"/>
    </xf>
    <xf numFmtId="0" fontId="0" fillId="4" borderId="40" xfId="0" applyFill="1" applyBorder="1" applyAlignment="1">
      <alignment horizontal="center"/>
    </xf>
    <xf numFmtId="0" fontId="0" fillId="4" borderId="43" xfId="0" applyFill="1" applyBorder="1" applyAlignment="1">
      <alignment horizontal="center"/>
    </xf>
    <xf numFmtId="0" fontId="33" fillId="4" borderId="42"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6" fillId="4" borderId="42" xfId="0" applyFont="1" applyFill="1" applyBorder="1" applyAlignment="1">
      <alignment horizontal="left" vertical="center" wrapText="1"/>
    </xf>
    <xf numFmtId="0" fontId="6" fillId="4" borderId="40" xfId="0" applyFont="1" applyFill="1" applyBorder="1" applyAlignment="1">
      <alignment horizontal="left" vertical="center" wrapText="1"/>
    </xf>
    <xf numFmtId="0" fontId="6" fillId="4" borderId="42" xfId="0" applyFont="1" applyFill="1" applyBorder="1" applyAlignment="1" applyProtection="1">
      <alignment horizontal="left" vertical="center"/>
      <protection locked="0"/>
    </xf>
    <xf numFmtId="0" fontId="6" fillId="4" borderId="40" xfId="0" applyFont="1" applyFill="1" applyBorder="1" applyAlignment="1" applyProtection="1">
      <alignment horizontal="left" vertical="center"/>
      <protection locked="0"/>
    </xf>
    <xf numFmtId="0" fontId="6" fillId="4" borderId="43" xfId="0" applyFont="1" applyFill="1" applyBorder="1" applyAlignment="1" applyProtection="1">
      <alignment horizontal="left" vertical="center"/>
      <protection locked="0"/>
    </xf>
    <xf numFmtId="0" fontId="6" fillId="4" borderId="8"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0" fillId="4" borderId="8" xfId="0"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0" fontId="5" fillId="4" borderId="8" xfId="0" applyFont="1" applyFill="1" applyBorder="1" applyAlignment="1">
      <alignment horizontal="left" vertical="center"/>
    </xf>
    <xf numFmtId="0" fontId="5" fillId="4" borderId="17" xfId="0" applyFont="1" applyFill="1" applyBorder="1" applyAlignment="1">
      <alignment horizontal="left" vertical="center"/>
    </xf>
    <xf numFmtId="0" fontId="5" fillId="4" borderId="26" xfId="0" applyFont="1" applyFill="1" applyBorder="1" applyAlignment="1">
      <alignment horizontal="left" vertical="center"/>
    </xf>
    <xf numFmtId="0" fontId="0" fillId="4" borderId="17" xfId="0" applyFill="1" applyBorder="1" applyAlignment="1" applyProtection="1">
      <alignment horizontal="left" vertical="center"/>
      <protection locked="0"/>
    </xf>
    <xf numFmtId="0" fontId="0" fillId="4" borderId="28" xfId="0" applyFill="1" applyBorder="1" applyAlignment="1" applyProtection="1">
      <alignment horizontal="left" vertical="center"/>
      <protection locked="0"/>
    </xf>
    <xf numFmtId="0" fontId="6" fillId="4" borderId="44" xfId="0" applyFont="1" applyFill="1" applyBorder="1" applyAlignment="1">
      <alignment horizontal="left" vertical="center"/>
    </xf>
    <xf numFmtId="0" fontId="6" fillId="4" borderId="36" xfId="0" applyFont="1" applyFill="1" applyBorder="1" applyAlignment="1">
      <alignment horizontal="left" vertical="center"/>
    </xf>
    <xf numFmtId="0" fontId="6" fillId="4" borderId="48" xfId="0" applyFont="1" applyFill="1" applyBorder="1" applyAlignment="1">
      <alignment horizontal="left" vertical="center"/>
    </xf>
    <xf numFmtId="0" fontId="6" fillId="4" borderId="21" xfId="0" applyFont="1" applyFill="1" applyBorder="1" applyAlignment="1">
      <alignment horizontal="left" vertical="center"/>
    </xf>
    <xf numFmtId="0" fontId="6" fillId="4" borderId="15" xfId="0" applyFont="1" applyFill="1" applyBorder="1" applyAlignment="1">
      <alignment horizontal="left" vertical="center" wrapText="1"/>
    </xf>
    <xf numFmtId="0" fontId="6" fillId="4" borderId="62" xfId="0" applyFont="1" applyFill="1" applyBorder="1" applyAlignment="1">
      <alignment horizontal="left" vertical="center" wrapText="1"/>
    </xf>
    <xf numFmtId="0" fontId="6" fillId="4" borderId="19" xfId="0" applyFont="1" applyFill="1" applyBorder="1" applyAlignment="1">
      <alignment horizontal="left" vertical="center" wrapText="1"/>
    </xf>
    <xf numFmtId="0" fontId="6" fillId="4" borderId="21" xfId="0" applyFont="1" applyFill="1" applyBorder="1" applyAlignment="1">
      <alignment horizontal="left" vertical="center" wrapText="1"/>
    </xf>
    <xf numFmtId="0" fontId="6" fillId="4" borderId="61" xfId="0" applyFont="1" applyFill="1" applyBorder="1" applyAlignment="1" applyProtection="1">
      <alignment horizontal="left" vertical="center"/>
      <protection locked="0"/>
    </xf>
    <xf numFmtId="0" fontId="6" fillId="4" borderId="29" xfId="0" applyFont="1" applyFill="1" applyBorder="1" applyAlignment="1" applyProtection="1">
      <alignment horizontal="left" vertical="center"/>
      <protection locked="0"/>
    </xf>
    <xf numFmtId="0" fontId="6" fillId="4" borderId="62" xfId="0" applyFont="1" applyFill="1" applyBorder="1" applyAlignment="1" applyProtection="1">
      <alignment horizontal="left" vertical="center"/>
      <protection locked="0"/>
    </xf>
    <xf numFmtId="0" fontId="6" fillId="4" borderId="16" xfId="0" applyFont="1" applyFill="1" applyBorder="1" applyAlignment="1" applyProtection="1">
      <alignment horizontal="left" vertical="center"/>
      <protection locked="0"/>
    </xf>
    <xf numFmtId="0" fontId="6" fillId="4" borderId="0" xfId="0" applyFont="1" applyFill="1" applyAlignment="1" applyProtection="1">
      <alignment horizontal="left" vertical="center"/>
      <protection locked="0"/>
    </xf>
    <xf numFmtId="0" fontId="6" fillId="4" borderId="91" xfId="0" applyFont="1" applyFill="1" applyBorder="1" applyAlignment="1" applyProtection="1">
      <alignment horizontal="left" vertical="center"/>
      <protection locked="0"/>
    </xf>
    <xf numFmtId="0" fontId="33" fillId="4" borderId="35" xfId="0" applyFont="1" applyFill="1" applyBorder="1" applyAlignment="1">
      <alignment horizontal="center" vertical="center" wrapText="1"/>
    </xf>
    <xf numFmtId="0" fontId="9" fillId="4" borderId="70" xfId="0" applyFont="1" applyFill="1" applyBorder="1" applyAlignment="1">
      <alignment horizontal="center" vertical="center"/>
    </xf>
    <xf numFmtId="0" fontId="9" fillId="4" borderId="33" xfId="0" applyFont="1" applyFill="1" applyBorder="1" applyAlignment="1">
      <alignment horizontal="center" vertical="center"/>
    </xf>
    <xf numFmtId="0" fontId="33" fillId="4" borderId="14" xfId="0" applyFont="1" applyFill="1" applyBorder="1" applyAlignment="1">
      <alignment horizontal="center" vertical="center" wrapText="1"/>
    </xf>
    <xf numFmtId="0" fontId="33" fillId="4" borderId="25" xfId="0" applyFont="1" applyFill="1" applyBorder="1" applyAlignment="1">
      <alignment horizontal="center" vertical="center" wrapText="1"/>
    </xf>
    <xf numFmtId="0" fontId="49" fillId="4" borderId="29" xfId="0" applyFont="1" applyFill="1" applyBorder="1" applyAlignment="1">
      <alignment horizontal="left" vertical="center" wrapText="1"/>
    </xf>
    <xf numFmtId="0" fontId="49" fillId="4" borderId="62" xfId="0" applyFont="1" applyFill="1" applyBorder="1" applyAlignment="1">
      <alignment horizontal="left" vertical="center" wrapText="1"/>
    </xf>
    <xf numFmtId="0" fontId="9" fillId="4" borderId="23" xfId="0" applyFont="1" applyFill="1" applyBorder="1" applyAlignment="1">
      <alignment horizontal="left"/>
    </xf>
    <xf numFmtId="0" fontId="9" fillId="4" borderId="14" xfId="0" applyFont="1" applyFill="1" applyBorder="1" applyAlignment="1">
      <alignment horizontal="left"/>
    </xf>
    <xf numFmtId="0" fontId="6" fillId="4" borderId="14" xfId="0" applyFont="1" applyFill="1" applyBorder="1" applyAlignment="1">
      <alignment horizontal="center"/>
    </xf>
    <xf numFmtId="0" fontId="6" fillId="4" borderId="25" xfId="0" applyFont="1" applyFill="1" applyBorder="1" applyAlignment="1">
      <alignment horizontal="center"/>
    </xf>
    <xf numFmtId="0" fontId="33" fillId="4" borderId="8"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6" fillId="4" borderId="61"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62"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21" xfId="0" applyFont="1" applyFill="1" applyBorder="1" applyAlignment="1">
      <alignment horizontal="center" vertical="center"/>
    </xf>
    <xf numFmtId="0" fontId="9" fillId="4" borderId="22" xfId="0" applyFont="1" applyFill="1" applyBorder="1" applyAlignment="1">
      <alignment horizontal="left" vertical="center" wrapText="1"/>
    </xf>
    <xf numFmtId="0" fontId="9" fillId="4" borderId="26" xfId="0" applyFont="1" applyFill="1" applyBorder="1" applyAlignment="1">
      <alignment horizontal="left" vertical="center" wrapText="1"/>
    </xf>
    <xf numFmtId="0" fontId="6" fillId="4" borderId="42" xfId="0" applyFont="1" applyFill="1" applyBorder="1" applyAlignment="1" applyProtection="1">
      <alignment horizontal="center" vertical="center"/>
      <protection locked="0"/>
    </xf>
    <xf numFmtId="0" fontId="6" fillId="4" borderId="40"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protection locked="0"/>
    </xf>
    <xf numFmtId="0" fontId="6" fillId="4" borderId="48" xfId="0" applyFont="1" applyFill="1" applyBorder="1" applyAlignment="1" applyProtection="1">
      <alignment horizontal="left" vertical="center"/>
      <protection locked="0"/>
    </xf>
    <xf numFmtId="0" fontId="6" fillId="4" borderId="9" xfId="0" applyFont="1" applyFill="1" applyBorder="1" applyAlignment="1" applyProtection="1">
      <alignment horizontal="left" vertical="center"/>
      <protection locked="0"/>
    </xf>
    <xf numFmtId="0" fontId="6" fillId="4" borderId="49" xfId="0" applyFont="1" applyFill="1" applyBorder="1" applyAlignment="1" applyProtection="1">
      <alignment horizontal="left" vertical="center"/>
      <protection locked="0"/>
    </xf>
    <xf numFmtId="0" fontId="6" fillId="4" borderId="44" xfId="0" applyFont="1" applyFill="1" applyBorder="1" applyAlignment="1" applyProtection="1">
      <alignment horizontal="left" vertical="top"/>
      <protection locked="0"/>
    </xf>
    <xf numFmtId="0" fontId="6" fillId="4" borderId="14" xfId="0" applyFont="1" applyFill="1" applyBorder="1" applyAlignment="1" applyProtection="1">
      <alignment horizontal="left" vertical="top"/>
      <protection locked="0"/>
    </xf>
    <xf numFmtId="0" fontId="6" fillId="4" borderId="25" xfId="0" applyFont="1" applyFill="1" applyBorder="1" applyAlignment="1" applyProtection="1">
      <alignment horizontal="left" vertical="top"/>
      <protection locked="0"/>
    </xf>
    <xf numFmtId="0" fontId="6" fillId="4" borderId="8" xfId="0" applyFont="1" applyFill="1" applyBorder="1" applyAlignment="1" applyProtection="1">
      <alignment horizontal="left" vertical="top"/>
      <protection locked="0"/>
    </xf>
    <xf numFmtId="0" fontId="6" fillId="4" borderId="17" xfId="0" applyFont="1" applyFill="1" applyBorder="1" applyAlignment="1" applyProtection="1">
      <alignment horizontal="left" vertical="top"/>
      <protection locked="0"/>
    </xf>
    <xf numFmtId="0" fontId="6" fillId="4" borderId="10" xfId="0" applyFont="1" applyFill="1" applyBorder="1" applyAlignment="1" applyProtection="1">
      <alignment horizontal="left" vertical="top"/>
      <protection locked="0"/>
    </xf>
    <xf numFmtId="0" fontId="6" fillId="4" borderId="47" xfId="0" applyFont="1" applyFill="1" applyBorder="1" applyAlignment="1" applyProtection="1">
      <alignment horizontal="left" vertical="top"/>
      <protection locked="0"/>
    </xf>
    <xf numFmtId="0" fontId="5" fillId="4" borderId="2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46" xfId="0" applyFont="1" applyFill="1" applyBorder="1" applyAlignment="1" applyProtection="1">
      <alignment horizontal="left" vertical="top" wrapText="1"/>
      <protection locked="0"/>
    </xf>
    <xf numFmtId="0" fontId="33" fillId="4" borderId="28" xfId="0" applyFont="1" applyFill="1" applyBorder="1" applyAlignment="1">
      <alignment horizontal="center" vertical="center" wrapText="1"/>
    </xf>
    <xf numFmtId="0" fontId="33" fillId="4" borderId="22" xfId="0" applyFont="1" applyFill="1" applyBorder="1" applyAlignment="1">
      <alignment horizontal="left" vertical="center" wrapText="1"/>
    </xf>
    <xf numFmtId="0" fontId="33" fillId="4" borderId="26" xfId="0" applyFont="1" applyFill="1" applyBorder="1" applyAlignment="1">
      <alignment horizontal="left" vertical="center" wrapText="1"/>
    </xf>
    <xf numFmtId="0" fontId="9" fillId="4" borderId="20"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6" fillId="4" borderId="22" xfId="0" applyFont="1" applyFill="1" applyBorder="1" applyAlignment="1">
      <alignment horizontal="left" vertical="center"/>
    </xf>
    <xf numFmtId="0" fontId="6" fillId="4" borderId="26" xfId="0" applyFont="1" applyFill="1" applyBorder="1" applyAlignment="1">
      <alignment horizontal="left" vertical="center"/>
    </xf>
    <xf numFmtId="0" fontId="6" fillId="0" borderId="0" xfId="0" applyFont="1" applyAlignment="1">
      <alignment horizontal="left" vertical="center"/>
    </xf>
    <xf numFmtId="0" fontId="6" fillId="0" borderId="54" xfId="0" applyFont="1" applyBorder="1" applyAlignment="1">
      <alignment horizontal="left" vertical="center"/>
    </xf>
    <xf numFmtId="9" fontId="6" fillId="4" borderId="8" xfId="0" applyNumberFormat="1" applyFont="1" applyFill="1" applyBorder="1" applyAlignment="1">
      <alignment horizontal="center" vertical="center" wrapText="1"/>
    </xf>
    <xf numFmtId="9" fontId="6" fillId="4" borderId="26" xfId="0" applyNumberFormat="1" applyFont="1" applyFill="1" applyBorder="1" applyAlignment="1">
      <alignment horizontal="center" vertical="center" wrapText="1"/>
    </xf>
    <xf numFmtId="0" fontId="19" fillId="3" borderId="31" xfId="0" applyFont="1" applyFill="1" applyBorder="1" applyAlignment="1">
      <alignment horizontal="left" vertical="center"/>
    </xf>
    <xf numFmtId="0" fontId="19" fillId="3" borderId="37" xfId="0" applyFont="1" applyFill="1" applyBorder="1" applyAlignment="1">
      <alignment horizontal="left" vertical="center"/>
    </xf>
    <xf numFmtId="0" fontId="5" fillId="3" borderId="37" xfId="0" applyFont="1" applyFill="1" applyBorder="1" applyAlignment="1">
      <alignment horizontal="right" vertical="center"/>
    </xf>
    <xf numFmtId="0" fontId="5" fillId="3" borderId="38" xfId="0" applyFont="1" applyFill="1" applyBorder="1" applyAlignment="1">
      <alignment horizontal="right" vertical="center"/>
    </xf>
    <xf numFmtId="0" fontId="6" fillId="4" borderId="43" xfId="0" applyFont="1" applyFill="1" applyBorder="1" applyAlignment="1">
      <alignment horizontal="left" vertical="center" wrapText="1"/>
    </xf>
    <xf numFmtId="0" fontId="6" fillId="4" borderId="28" xfId="0" applyFont="1" applyFill="1" applyBorder="1" applyAlignment="1">
      <alignment horizontal="left" vertical="center" wrapText="1"/>
    </xf>
    <xf numFmtId="0" fontId="9" fillId="4" borderId="70" xfId="0" applyFont="1" applyFill="1" applyBorder="1" applyAlignment="1">
      <alignment horizontal="center" vertical="center" wrapText="1"/>
    </xf>
    <xf numFmtId="0" fontId="9" fillId="4" borderId="9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6" fillId="4" borderId="16" xfId="0" applyFont="1" applyFill="1" applyBorder="1" applyAlignment="1" applyProtection="1">
      <alignment horizontal="center" vertical="center"/>
      <protection locked="0"/>
    </xf>
    <xf numFmtId="0" fontId="6" fillId="4" borderId="91" xfId="0" applyFont="1" applyFill="1" applyBorder="1" applyAlignment="1" applyProtection="1">
      <alignment horizontal="center" vertical="center"/>
      <protection locked="0"/>
    </xf>
    <xf numFmtId="0" fontId="6" fillId="4" borderId="48"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165" fontId="6" fillId="0" borderId="8" xfId="0" applyNumberFormat="1" applyFont="1" applyBorder="1" applyAlignment="1">
      <alignment horizontal="center" vertical="center" wrapText="1"/>
    </xf>
    <xf numFmtId="165" fontId="6" fillId="0" borderId="26" xfId="0" applyNumberFormat="1" applyFont="1" applyBorder="1" applyAlignment="1">
      <alignment horizontal="center" vertical="center" wrapText="1"/>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17" xfId="0" applyFont="1" applyFill="1" applyBorder="1" applyAlignment="1">
      <alignment horizontal="center" vertical="center" wrapText="1"/>
    </xf>
    <xf numFmtId="0" fontId="6" fillId="4" borderId="8"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protection locked="0"/>
    </xf>
    <xf numFmtId="0" fontId="6" fillId="4" borderId="9" xfId="0" applyFont="1" applyFill="1" applyBorder="1" applyAlignment="1">
      <alignment horizontal="left" vertical="center" wrapText="1"/>
    </xf>
    <xf numFmtId="0" fontId="6" fillId="4" borderId="8" xfId="0" applyFont="1" applyFill="1" applyBorder="1" applyAlignment="1">
      <alignment horizontal="center" vertical="top" wrapText="1"/>
    </xf>
    <xf numFmtId="0" fontId="6" fillId="4" borderId="17" xfId="0" applyFont="1" applyFill="1" applyBorder="1" applyAlignment="1">
      <alignment horizontal="center" vertical="top" wrapText="1"/>
    </xf>
    <xf numFmtId="0" fontId="6" fillId="4" borderId="26" xfId="0" applyFont="1" applyFill="1" applyBorder="1" applyAlignment="1">
      <alignment horizontal="center" vertical="top" wrapText="1"/>
    </xf>
    <xf numFmtId="0" fontId="6" fillId="4" borderId="16" xfId="0" applyFont="1" applyFill="1" applyBorder="1" applyAlignment="1">
      <alignment horizontal="left" vertical="center" wrapText="1"/>
    </xf>
    <xf numFmtId="0" fontId="6" fillId="4" borderId="91" xfId="0" applyFont="1" applyFill="1" applyBorder="1" applyAlignment="1">
      <alignment horizontal="left" vertical="center" wrapText="1"/>
    </xf>
    <xf numFmtId="0" fontId="6" fillId="4" borderId="48" xfId="0" applyFont="1" applyFill="1" applyBorder="1" applyAlignment="1">
      <alignment horizontal="left" vertical="center" wrapText="1"/>
    </xf>
    <xf numFmtId="0" fontId="6" fillId="4" borderId="11" xfId="0" applyFont="1" applyFill="1" applyBorder="1" applyAlignment="1">
      <alignment horizontal="right" vertical="center" wrapText="1"/>
    </xf>
    <xf numFmtId="0" fontId="6" fillId="4" borderId="10" xfId="0" applyFont="1" applyFill="1" applyBorder="1" applyAlignment="1">
      <alignment horizontal="right" vertical="center" wrapText="1"/>
    </xf>
    <xf numFmtId="0" fontId="6" fillId="4" borderId="11"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6" fillId="4" borderId="47" xfId="0" applyFont="1" applyFill="1" applyBorder="1" applyAlignment="1" applyProtection="1">
      <alignment horizontal="left" vertical="top" wrapText="1"/>
      <protection locked="0"/>
    </xf>
    <xf numFmtId="0" fontId="6" fillId="4" borderId="16" xfId="0" applyFont="1" applyFill="1" applyBorder="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6" fillId="4" borderId="54" xfId="0" applyFont="1" applyFill="1" applyBorder="1" applyAlignment="1" applyProtection="1">
      <alignment horizontal="left" vertical="top" wrapText="1"/>
      <protection locked="0"/>
    </xf>
    <xf numFmtId="0" fontId="6" fillId="4" borderId="48" xfId="0" applyFont="1" applyFill="1" applyBorder="1" applyAlignment="1" applyProtection="1">
      <alignment horizontal="left" vertical="top" wrapText="1"/>
      <protection locked="0"/>
    </xf>
    <xf numFmtId="0" fontId="6" fillId="4" borderId="9" xfId="0" applyFont="1" applyFill="1" applyBorder="1" applyAlignment="1" applyProtection="1">
      <alignment horizontal="left" vertical="top" wrapText="1"/>
      <protection locked="0"/>
    </xf>
    <xf numFmtId="0" fontId="6" fillId="4" borderId="49" xfId="0" applyFont="1" applyFill="1" applyBorder="1" applyAlignment="1" applyProtection="1">
      <alignment horizontal="left" vertical="top" wrapText="1"/>
      <protection locked="0"/>
    </xf>
    <xf numFmtId="0" fontId="6" fillId="4" borderId="57"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6" fillId="4" borderId="27" xfId="0" applyFont="1" applyFill="1" applyBorder="1" applyAlignment="1">
      <alignment horizontal="center" vertical="center" wrapText="1"/>
    </xf>
    <xf numFmtId="165" fontId="5" fillId="4" borderId="44" xfId="0" applyNumberFormat="1" applyFont="1" applyFill="1" applyBorder="1" applyAlignment="1" applyProtection="1">
      <alignment horizontal="center" vertical="center"/>
      <protection locked="0"/>
    </xf>
    <xf numFmtId="165" fontId="5" fillId="4" borderId="36" xfId="0" applyNumberFormat="1" applyFont="1" applyFill="1" applyBorder="1" applyAlignment="1" applyProtection="1">
      <alignment horizontal="center" vertical="center"/>
      <protection locked="0"/>
    </xf>
    <xf numFmtId="0" fontId="5" fillId="4" borderId="44"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36" xfId="0" applyFont="1" applyFill="1" applyBorder="1" applyAlignment="1" applyProtection="1">
      <alignment horizontal="center" vertical="center"/>
      <protection locked="0"/>
    </xf>
    <xf numFmtId="0" fontId="0" fillId="4" borderId="14" xfId="0" applyFill="1" applyBorder="1" applyAlignment="1">
      <alignment horizontal="right" vertical="center"/>
    </xf>
    <xf numFmtId="0" fontId="0" fillId="4" borderId="36" xfId="0" applyFill="1" applyBorder="1" applyAlignment="1">
      <alignment horizontal="right" vertical="center"/>
    </xf>
    <xf numFmtId="0" fontId="0" fillId="4" borderId="37" xfId="0" applyFill="1" applyBorder="1" applyAlignment="1">
      <alignment horizontal="center"/>
    </xf>
    <xf numFmtId="0" fontId="0" fillId="4" borderId="38" xfId="0" applyFill="1" applyBorder="1" applyAlignment="1">
      <alignment horizontal="center"/>
    </xf>
    <xf numFmtId="0" fontId="19" fillId="3" borderId="38" xfId="0" applyFont="1" applyFill="1" applyBorder="1" applyAlignment="1">
      <alignment horizontal="left" vertical="center"/>
    </xf>
    <xf numFmtId="0" fontId="6" fillId="4" borderId="44"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36"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40" fillId="4" borderId="24" xfId="0" applyFont="1" applyFill="1" applyBorder="1" applyAlignment="1">
      <alignment horizontal="center" vertical="center" wrapText="1" readingOrder="1"/>
    </xf>
    <xf numFmtId="0" fontId="40" fillId="4" borderId="13" xfId="0" applyFont="1" applyFill="1" applyBorder="1" applyAlignment="1">
      <alignment horizontal="center" vertical="center" wrapText="1" readingOrder="1"/>
    </xf>
    <xf numFmtId="0" fontId="40" fillId="4" borderId="46" xfId="0" applyFont="1" applyFill="1" applyBorder="1" applyAlignment="1">
      <alignment horizontal="center" vertical="center" wrapText="1" readingOrder="1"/>
    </xf>
    <xf numFmtId="0" fontId="5" fillId="4" borderId="22"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8"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6" fillId="4" borderId="8" xfId="0" applyFont="1" applyFill="1" applyBorder="1" applyAlignment="1">
      <alignment horizontal="center" wrapText="1"/>
    </xf>
    <xf numFmtId="0" fontId="6" fillId="4" borderId="17" xfId="0" applyFont="1" applyFill="1" applyBorder="1" applyAlignment="1">
      <alignment horizontal="center" wrapText="1"/>
    </xf>
    <xf numFmtId="0" fontId="6" fillId="4" borderId="8"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8" xfId="0" applyFont="1" applyFill="1" applyBorder="1" applyAlignment="1">
      <alignment horizontal="left"/>
    </xf>
    <xf numFmtId="0" fontId="6" fillId="4" borderId="17" xfId="0" applyFont="1" applyFill="1" applyBorder="1" applyAlignment="1">
      <alignment horizontal="left"/>
    </xf>
    <xf numFmtId="0" fontId="6" fillId="4" borderId="26" xfId="0" applyFont="1" applyFill="1" applyBorder="1" applyAlignment="1">
      <alignment horizontal="left"/>
    </xf>
    <xf numFmtId="0" fontId="6" fillId="4" borderId="18" xfId="0" applyFont="1" applyFill="1" applyBorder="1" applyAlignment="1">
      <alignment horizontal="left" vertical="center" wrapText="1"/>
    </xf>
    <xf numFmtId="0" fontId="6" fillId="4" borderId="0" xfId="0" applyFont="1" applyFill="1" applyAlignment="1">
      <alignment horizontal="left" vertical="center" wrapText="1"/>
    </xf>
    <xf numFmtId="0" fontId="32" fillId="4" borderId="42" xfId="0" applyFont="1" applyFill="1" applyBorder="1" applyAlignment="1" applyProtection="1">
      <alignment horizontal="left" vertical="top" wrapText="1"/>
      <protection locked="0"/>
    </xf>
    <xf numFmtId="0" fontId="32" fillId="4" borderId="40" xfId="0" applyFont="1" applyFill="1" applyBorder="1" applyAlignment="1" applyProtection="1">
      <alignment horizontal="left" vertical="top" wrapText="1"/>
      <protection locked="0"/>
    </xf>
    <xf numFmtId="0" fontId="32" fillId="4" borderId="43" xfId="0" applyFont="1" applyFill="1" applyBorder="1" applyAlignment="1" applyProtection="1">
      <alignment horizontal="left" vertical="top" wrapText="1"/>
      <protection locked="0"/>
    </xf>
    <xf numFmtId="0" fontId="6" fillId="4" borderId="70"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8" xfId="0" applyFont="1" applyFill="1" applyBorder="1" applyAlignment="1">
      <alignment horizontal="right" vertical="center"/>
    </xf>
    <xf numFmtId="0" fontId="6" fillId="4" borderId="26" xfId="0" applyFont="1" applyFill="1" applyBorder="1" applyAlignment="1">
      <alignment horizontal="right" vertical="center"/>
    </xf>
    <xf numFmtId="0" fontId="6" fillId="4" borderId="8" xfId="0" applyFont="1" applyFill="1" applyBorder="1" applyAlignment="1">
      <alignment wrapText="1"/>
    </xf>
    <xf numFmtId="0" fontId="6" fillId="4" borderId="17" xfId="0" applyFont="1" applyFill="1" applyBorder="1" applyAlignment="1">
      <alignment wrapText="1"/>
    </xf>
    <xf numFmtId="0" fontId="6" fillId="4" borderId="26" xfId="0" applyFont="1" applyFill="1" applyBorder="1" applyAlignment="1">
      <alignment wrapText="1"/>
    </xf>
    <xf numFmtId="0" fontId="6" fillId="4" borderId="8" xfId="0" applyFont="1" applyFill="1" applyBorder="1" applyAlignment="1">
      <alignment horizontal="left" vertical="center"/>
    </xf>
    <xf numFmtId="0" fontId="6" fillId="4" borderId="17" xfId="0" applyFont="1" applyFill="1" applyBorder="1" applyAlignment="1">
      <alignment horizontal="left" vertical="center"/>
    </xf>
    <xf numFmtId="0" fontId="6" fillId="4" borderId="28" xfId="0" applyFont="1" applyFill="1" applyBorder="1" applyAlignment="1">
      <alignment horizontal="left" vertical="center"/>
    </xf>
    <xf numFmtId="0" fontId="6" fillId="4" borderId="1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24"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4" borderId="46" xfId="0" applyFont="1" applyFill="1" applyBorder="1" applyAlignment="1">
      <alignment horizontal="left" vertical="center" wrapText="1"/>
    </xf>
    <xf numFmtId="0" fontId="0" fillId="0" borderId="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9" fillId="4" borderId="19" xfId="0" applyFont="1" applyFill="1" applyBorder="1" applyAlignment="1">
      <alignment horizontal="left" vertical="center" wrapText="1"/>
    </xf>
    <xf numFmtId="0" fontId="9" fillId="4" borderId="9" xfId="0" applyFont="1" applyFill="1" applyBorder="1" applyAlignment="1">
      <alignment horizontal="left" vertical="center" wrapText="1"/>
    </xf>
    <xf numFmtId="0" fontId="6" fillId="4" borderId="42"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2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4" borderId="14" xfId="0" applyFont="1" applyFill="1" applyBorder="1" applyAlignment="1">
      <alignment horizontal="center" vertical="center" wrapText="1"/>
    </xf>
    <xf numFmtId="0" fontId="9" fillId="4" borderId="25" xfId="0" applyFont="1" applyFill="1" applyBorder="1" applyAlignment="1">
      <alignment horizontal="center" vertical="center" wrapText="1"/>
    </xf>
    <xf numFmtId="165" fontId="9" fillId="4" borderId="8" xfId="0" applyNumberFormat="1" applyFont="1" applyFill="1" applyBorder="1" applyAlignment="1" applyProtection="1">
      <alignment horizontal="center" vertical="center"/>
      <protection locked="0"/>
    </xf>
    <xf numFmtId="165" fontId="9" fillId="4" borderId="28" xfId="0" applyNumberFormat="1" applyFont="1" applyFill="1" applyBorder="1" applyAlignment="1" applyProtection="1">
      <alignment horizontal="center" vertical="center"/>
      <protection locked="0"/>
    </xf>
    <xf numFmtId="0" fontId="9" fillId="4" borderId="17" xfId="0" applyFont="1" applyFill="1" applyBorder="1" applyAlignment="1" applyProtection="1">
      <alignment horizontal="left" vertical="center"/>
      <protection locked="0"/>
    </xf>
    <xf numFmtId="0" fontId="9" fillId="4" borderId="26" xfId="0" applyFont="1" applyFill="1" applyBorder="1" applyAlignment="1" applyProtection="1">
      <alignment horizontal="left" vertical="center"/>
      <protection locked="0"/>
    </xf>
    <xf numFmtId="0" fontId="6" fillId="4" borderId="45"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48" fillId="4" borderId="22" xfId="0" applyFont="1" applyFill="1" applyBorder="1" applyAlignment="1">
      <alignment horizontal="left" vertical="center" wrapText="1"/>
    </xf>
    <xf numFmtId="0" fontId="48" fillId="4" borderId="26" xfId="0" applyFont="1" applyFill="1" applyBorder="1" applyAlignment="1">
      <alignment horizontal="left" vertical="center" wrapText="1"/>
    </xf>
    <xf numFmtId="0" fontId="48" fillId="4" borderId="13" xfId="0" applyFont="1" applyFill="1" applyBorder="1" applyAlignment="1">
      <alignment horizontal="left" vertical="center" wrapText="1"/>
    </xf>
    <xf numFmtId="0" fontId="48" fillId="4" borderId="97" xfId="0" applyFont="1" applyFill="1" applyBorder="1" applyAlignment="1">
      <alignment horizontal="left" vertical="center" wrapText="1"/>
    </xf>
    <xf numFmtId="0" fontId="49" fillId="4" borderId="61" xfId="0" applyFont="1" applyFill="1" applyBorder="1" applyAlignment="1">
      <alignment horizontal="center" vertical="center" wrapText="1"/>
    </xf>
    <xf numFmtId="0" fontId="49" fillId="4" borderId="29" xfId="0" applyFont="1" applyFill="1" applyBorder="1" applyAlignment="1">
      <alignment horizontal="center" vertical="center" wrapText="1"/>
    </xf>
    <xf numFmtId="0" fontId="49" fillId="4" borderId="30" xfId="0" applyFont="1" applyFill="1" applyBorder="1" applyAlignment="1">
      <alignment horizontal="center" vertical="center" wrapText="1"/>
    </xf>
    <xf numFmtId="0" fontId="6" fillId="4" borderId="17" xfId="0" applyFont="1" applyFill="1" applyBorder="1" applyAlignment="1" applyProtection="1">
      <alignment horizontal="center" vertical="center"/>
      <protection locked="0"/>
    </xf>
    <xf numFmtId="0" fontId="48" fillId="4" borderId="45" xfId="0" applyFont="1" applyFill="1" applyBorder="1" applyAlignment="1">
      <alignment horizontal="center" vertical="center" wrapText="1"/>
    </xf>
    <xf numFmtId="0" fontId="48" fillId="4" borderId="13" xfId="0" applyFont="1" applyFill="1" applyBorder="1" applyAlignment="1">
      <alignment horizontal="center" vertical="center" wrapText="1"/>
    </xf>
    <xf numFmtId="0" fontId="48" fillId="4" borderId="46"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8" xfId="0" applyFont="1" applyBorder="1" applyAlignment="1">
      <alignment horizontal="center" vertical="center"/>
    </xf>
    <xf numFmtId="0" fontId="0" fillId="0" borderId="0" xfId="0" applyAlignment="1">
      <alignment horizontal="right"/>
    </xf>
    <xf numFmtId="0" fontId="19" fillId="7" borderId="1" xfId="0" applyFont="1" applyFill="1" applyBorder="1" applyAlignment="1">
      <alignment horizontal="center"/>
    </xf>
    <xf numFmtId="0" fontId="19" fillId="7" borderId="35" xfId="0" applyFont="1" applyFill="1" applyBorder="1" applyAlignment="1">
      <alignment horizontal="center"/>
    </xf>
    <xf numFmtId="0" fontId="19" fillId="7" borderId="2" xfId="0" applyFont="1" applyFill="1" applyBorder="1" applyAlignment="1">
      <alignment horizontal="center"/>
    </xf>
  </cellXfs>
  <cellStyles count="5">
    <cellStyle name="_x000a_mouse.drv=lm" xfId="4" xr:uid="{E5220E3A-750A-4025-BB0B-18C9CEEB16C1}"/>
    <cellStyle name="Prozent 2" xfId="1" xr:uid="{00000000-0005-0000-0000-000002000000}"/>
    <cellStyle name="Standard" xfId="0" builtinId="0"/>
    <cellStyle name="Standard 2" xfId="2" xr:uid="{20F9335A-7510-4BA1-A246-8C334E444573}"/>
    <cellStyle name="Standard 3" xfId="3" xr:uid="{FEF1E6C7-0DEE-43BC-B053-6A746CD4DAB3}"/>
  </cellStyles>
  <dxfs count="267">
    <dxf>
      <fill>
        <patternFill>
          <bgColor indexed="11"/>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indexed="9"/>
      </font>
      <fill>
        <patternFill>
          <bgColor indexed="10"/>
        </patternFill>
      </fill>
    </dxf>
    <dxf>
      <fill>
        <patternFill>
          <bgColor indexed="11"/>
        </patternFill>
      </fill>
    </dxf>
    <dxf>
      <font>
        <condense val="0"/>
        <extend val="0"/>
        <color indexed="9"/>
      </font>
      <fill>
        <patternFill>
          <bgColor indexed="10"/>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0"/>
        </patternFill>
      </fill>
      <border>
        <left/>
        <right/>
        <top/>
        <bottom/>
      </border>
    </dxf>
    <dxf>
      <font>
        <color theme="0"/>
      </font>
      <fill>
        <patternFill>
          <bgColor theme="0"/>
        </patternFill>
      </fill>
    </dxf>
    <dxf>
      <fill>
        <patternFill>
          <bgColor theme="0" tint="-0.14996795556505021"/>
        </patternFill>
      </fill>
    </dxf>
    <dxf>
      <font>
        <color theme="0"/>
      </font>
    </dxf>
    <dxf>
      <fill>
        <patternFill>
          <bgColor theme="0" tint="-0.1499679555650502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tint="-0.14996795556505021"/>
        </patternFill>
      </fill>
    </dxf>
    <dxf>
      <fill>
        <patternFill>
          <bgColor theme="0" tint="-0.14996795556505021"/>
        </patternFill>
      </fill>
    </dxf>
    <dxf>
      <font>
        <color theme="0"/>
      </font>
      <fill>
        <patternFill>
          <bgColor theme="0"/>
        </patternFill>
      </fill>
    </dxf>
    <dxf>
      <font>
        <color theme="0"/>
      </font>
      <fill>
        <patternFill patternType="solid">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ill>
        <patternFill>
          <bgColor rgb="FFFF0000"/>
        </patternFill>
      </fill>
    </dxf>
    <dxf>
      <font>
        <color theme="0"/>
      </font>
      <fill>
        <patternFill>
          <bgColor theme="0"/>
        </patternFill>
      </fill>
    </dxf>
    <dxf>
      <fill>
        <patternFill>
          <bgColor rgb="FFFFFF00"/>
        </patternFill>
      </fill>
    </dxf>
    <dxf>
      <fill>
        <patternFill>
          <bgColor rgb="FFFF0000"/>
        </patternFill>
      </fill>
    </dxf>
    <dxf>
      <font>
        <color theme="0"/>
      </font>
      <fill>
        <patternFill>
          <bgColor theme="0"/>
        </patternFill>
      </fill>
      <border>
        <vertical/>
        <horizontal/>
      </border>
    </dxf>
    <dxf>
      <font>
        <color theme="0"/>
      </font>
      <fill>
        <patternFill>
          <bgColor theme="0"/>
        </patternFill>
      </fill>
    </dxf>
    <dxf>
      <fill>
        <patternFill>
          <bgColor rgb="FFFFFF00"/>
        </patternFill>
      </fill>
    </dxf>
    <dxf>
      <font>
        <color theme="0"/>
      </font>
      <fill>
        <patternFill>
          <bgColor theme="0"/>
        </patternFill>
      </fill>
    </dxf>
    <dxf>
      <fill>
        <patternFill>
          <bgColor rgb="FFFF0000"/>
        </patternFill>
      </fill>
    </dxf>
    <dxf>
      <font>
        <color theme="0"/>
      </font>
      <fill>
        <patternFill>
          <bgColor theme="0"/>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3"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3" tint="0.79998168889431442"/>
        </patternFill>
      </fill>
    </dxf>
    <dxf>
      <fill>
        <patternFill>
          <bgColor rgb="FF00B050"/>
        </patternFill>
      </fill>
    </dxf>
    <dxf>
      <fill>
        <patternFill>
          <bgColor rgb="FFFFFF00"/>
        </patternFill>
      </fill>
    </dxf>
    <dxf>
      <fill>
        <patternFill>
          <bgColor rgb="FFFF0000"/>
        </patternFill>
      </fill>
    </dxf>
    <dxf>
      <font>
        <color theme="0"/>
      </font>
      <fill>
        <patternFill>
          <bgColor theme="0"/>
        </patternFill>
      </fill>
    </dxf>
    <dxf>
      <font>
        <color theme="0"/>
      </font>
      <fill>
        <patternFill>
          <bgColor theme="0"/>
        </patternFill>
      </fill>
    </dxf>
    <dxf>
      <fill>
        <patternFill>
          <bgColor rgb="FFFF0000"/>
        </patternFill>
      </fill>
    </dxf>
    <dxf>
      <fill>
        <patternFill>
          <bgColor rgb="FFFF0000"/>
        </patternFill>
      </fill>
    </dxf>
    <dxf>
      <fill>
        <patternFill>
          <bgColor theme="3" tint="0.79998168889431442"/>
        </patternFill>
      </fill>
    </dxf>
    <dxf>
      <font>
        <color theme="0"/>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0"/>
        </patternFill>
      </fill>
    </dxf>
    <dxf>
      <font>
        <color theme="0"/>
      </font>
      <fill>
        <patternFill patternType="solid">
          <bgColor theme="0"/>
        </patternFill>
      </fill>
    </dxf>
    <dxf>
      <font>
        <color theme="0"/>
      </font>
      <fill>
        <patternFill patternType="none">
          <bgColor auto="1"/>
        </patternFill>
      </fill>
    </dxf>
    <dxf>
      <font>
        <color theme="0"/>
      </font>
      <fill>
        <patternFill>
          <bgColor theme="0"/>
        </patternFill>
      </fill>
      <border>
        <vertical/>
        <horizontal/>
      </border>
    </dxf>
    <dxf>
      <font>
        <color theme="0"/>
      </font>
      <fill>
        <patternFill>
          <bgColor theme="0"/>
        </patternFill>
      </fill>
    </dxf>
    <dxf>
      <font>
        <color theme="0"/>
      </font>
      <fill>
        <patternFill>
          <bgColor theme="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FF00"/>
        </patternFill>
      </fill>
    </dxf>
    <dxf>
      <fill>
        <patternFill>
          <bgColor rgb="FF92D05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rgb="FFFF0000"/>
        </patternFill>
      </fill>
    </dxf>
    <dxf>
      <font>
        <color auto="1"/>
      </font>
      <fill>
        <patternFill patternType="none">
          <bgColor auto="1"/>
        </patternFill>
      </fill>
    </dxf>
    <dxf>
      <fill>
        <patternFill>
          <bgColor theme="3" tint="0.79998168889431442"/>
        </patternFill>
      </fill>
    </dxf>
    <dxf>
      <font>
        <color theme="0"/>
      </font>
      <fill>
        <patternFill>
          <bgColor theme="0"/>
        </patternFill>
      </fill>
    </dxf>
    <dxf>
      <fill>
        <patternFill>
          <bgColor rgb="FFFF0000"/>
        </patternFill>
      </fill>
    </dxf>
    <dxf>
      <font>
        <color theme="0"/>
      </font>
      <fill>
        <patternFill>
          <bgColor theme="0"/>
        </patternFill>
      </fill>
    </dxf>
    <dxf>
      <fill>
        <patternFill>
          <bgColor rgb="FF92D050"/>
        </patternFill>
      </fill>
    </dxf>
    <dxf>
      <fill>
        <patternFill>
          <bgColor rgb="FFFF0000"/>
        </patternFill>
      </fill>
    </dxf>
    <dxf>
      <font>
        <b/>
        <i val="0"/>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fill>
        <patternFill>
          <bgColor theme="0"/>
        </patternFill>
      </fill>
    </dxf>
    <dxf>
      <fill>
        <patternFill>
          <bgColor theme="3" tint="0.79998168889431442"/>
        </patternFill>
      </fill>
    </dxf>
    <dxf>
      <fill>
        <patternFill>
          <bgColor rgb="FFFF0000"/>
        </patternFill>
      </fill>
    </dxf>
    <dxf>
      <font>
        <b/>
        <i val="0"/>
      </font>
      <fill>
        <patternFill>
          <bgColor rgb="FFFF0000"/>
        </patternFill>
      </fill>
    </dxf>
    <dxf>
      <font>
        <color theme="0"/>
      </font>
      <fill>
        <patternFill>
          <bgColor theme="0"/>
        </patternFill>
      </fill>
    </dxf>
    <dxf>
      <fill>
        <patternFill>
          <bgColor theme="3" tint="0.79998168889431442"/>
        </patternFill>
      </fill>
    </dxf>
    <dxf>
      <fill>
        <patternFill>
          <bgColor theme="3" tint="0.79998168889431442"/>
        </patternFill>
      </fill>
    </dxf>
    <dxf>
      <font>
        <color theme="0"/>
      </font>
    </dxf>
    <dxf>
      <font>
        <color theme="0"/>
      </font>
      <fill>
        <patternFill>
          <bgColor theme="0"/>
        </patternFill>
      </fill>
    </dxf>
    <dxf>
      <fill>
        <patternFill>
          <bgColor rgb="FFFF0000"/>
        </patternFill>
      </fill>
    </dxf>
    <dxf>
      <fill>
        <patternFill>
          <bgColor rgb="FFFF0000"/>
        </patternFill>
      </fill>
    </dxf>
    <dxf>
      <fill>
        <patternFill>
          <bgColor theme="3" tint="0.79998168889431442"/>
        </patternFill>
      </fill>
    </dxf>
    <dxf>
      <font>
        <color theme="0"/>
      </font>
      <fill>
        <patternFill>
          <bgColor theme="0"/>
        </patternFill>
      </fill>
    </dxf>
    <dxf>
      <fill>
        <patternFill>
          <bgColor theme="3"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ndense val="0"/>
        <extend val="0"/>
        <color auto="1"/>
      </font>
      <fill>
        <patternFill>
          <bgColor indexed="11"/>
        </patternFill>
      </fill>
    </dxf>
    <dxf>
      <font>
        <condense val="0"/>
        <extend val="0"/>
        <color indexed="9"/>
      </font>
      <fill>
        <patternFill>
          <bgColor indexed="10"/>
        </patternFill>
      </fill>
    </dxf>
    <dxf>
      <font>
        <b/>
        <i/>
        <u/>
        <color theme="0"/>
      </font>
      <fill>
        <patternFill>
          <bgColor rgb="FFFF0000"/>
        </patternFill>
      </fill>
    </dxf>
    <dxf>
      <font>
        <color theme="0"/>
      </font>
      <fill>
        <patternFill>
          <bgColor theme="0"/>
        </patternFill>
      </fill>
    </dxf>
    <dxf>
      <fill>
        <patternFill>
          <bgColor theme="3" tint="0.79998168889431442"/>
        </patternFill>
      </fill>
    </dxf>
    <dxf>
      <fill>
        <patternFill>
          <bgColor theme="3" tint="0.79998168889431442"/>
        </patternFill>
      </fill>
    </dxf>
    <dxf>
      <font>
        <color theme="0"/>
      </font>
      <fill>
        <patternFill patternType="none">
          <bgColor auto="1"/>
        </patternFill>
      </fill>
    </dxf>
    <dxf>
      <fill>
        <patternFill>
          <bgColor theme="3" tint="0.79998168889431442"/>
        </patternFill>
      </fill>
    </dxf>
    <dxf>
      <fill>
        <patternFill>
          <bgColor theme="3" tint="0.79998168889431442"/>
        </patternFill>
      </fill>
    </dxf>
    <dxf>
      <fill>
        <patternFill>
          <bgColor theme="0" tint="-0.14996795556505021"/>
        </patternFill>
      </fill>
    </dxf>
    <dxf>
      <fill>
        <patternFill>
          <bgColor theme="0" tint="-0.14996795556505021"/>
        </patternFill>
      </fill>
    </dxf>
    <dxf>
      <font>
        <color theme="0"/>
      </font>
      <fill>
        <patternFill>
          <bgColor theme="0"/>
        </patternFill>
      </fill>
      <border>
        <left/>
        <right/>
        <top/>
        <bottom/>
        <vertical/>
        <horizontal/>
      </border>
    </dxf>
    <dxf>
      <fill>
        <patternFill>
          <bgColor theme="0" tint="-0.14996795556505021"/>
        </patternFill>
      </fill>
    </dxf>
    <dxf>
      <font>
        <b/>
        <i val="0"/>
        <color auto="1"/>
      </font>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0"/>
        </patternFill>
      </fill>
      <border>
        <left/>
        <right/>
        <top/>
        <bottom/>
        <vertical/>
        <horizontal/>
      </border>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ont>
        <color auto="1"/>
      </font>
      <fill>
        <patternFill patternType="none">
          <bgColor auto="1"/>
        </patternFill>
      </fill>
    </dxf>
    <dxf>
      <fill>
        <patternFill>
          <bgColor theme="0" tint="-0.14996795556505021"/>
        </patternFill>
      </fill>
    </dxf>
    <dxf>
      <fill>
        <patternFill>
          <bgColor rgb="FFFF0000"/>
        </patternFill>
      </fill>
    </dxf>
    <dxf>
      <fill>
        <patternFill patternType="solid">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299658</xdr:colOff>
      <xdr:row>75</xdr:row>
      <xdr:rowOff>152399</xdr:rowOff>
    </xdr:to>
    <xdr:pic>
      <xdr:nvPicPr>
        <xdr:cNvPr id="2" name="Grafik 1">
          <a:extLst>
            <a:ext uri="{FF2B5EF4-FFF2-40B4-BE49-F238E27FC236}">
              <a16:creationId xmlns:a16="http://schemas.microsoft.com/office/drawing/2014/main" id="{C44E5386-2B32-41E1-9074-0A58372F9A46}"/>
            </a:ext>
          </a:extLst>
        </xdr:cNvPr>
        <xdr:cNvPicPr>
          <a:picLocks noChangeAspect="1"/>
        </xdr:cNvPicPr>
      </xdr:nvPicPr>
      <xdr:blipFill>
        <a:blip xmlns:r="http://schemas.openxmlformats.org/officeDocument/2006/relationships" r:embed="rId1"/>
        <a:stretch>
          <a:fillRect/>
        </a:stretch>
      </xdr:blipFill>
      <xdr:spPr>
        <a:xfrm>
          <a:off x="0" y="0"/>
          <a:ext cx="8681658" cy="12296774"/>
        </a:xfrm>
        <a:prstGeom prst="rect">
          <a:avLst/>
        </a:prstGeom>
      </xdr:spPr>
    </xdr:pic>
    <xdr:clientData/>
  </xdr:twoCellAnchor>
  <xdr:twoCellAnchor editAs="oneCell">
    <xdr:from>
      <xdr:col>0</xdr:col>
      <xdr:colOff>0</xdr:colOff>
      <xdr:row>76</xdr:row>
      <xdr:rowOff>28574</xdr:rowOff>
    </xdr:from>
    <xdr:to>
      <xdr:col>11</xdr:col>
      <xdr:colOff>307087</xdr:colOff>
      <xdr:row>150</xdr:row>
      <xdr:rowOff>114299</xdr:rowOff>
    </xdr:to>
    <xdr:pic>
      <xdr:nvPicPr>
        <xdr:cNvPr id="3" name="Grafik 2">
          <a:extLst>
            <a:ext uri="{FF2B5EF4-FFF2-40B4-BE49-F238E27FC236}">
              <a16:creationId xmlns:a16="http://schemas.microsoft.com/office/drawing/2014/main" id="{811368E8-D2A5-434B-9A34-9BBE415F91EB}"/>
            </a:ext>
          </a:extLst>
        </xdr:cNvPr>
        <xdr:cNvPicPr>
          <a:picLocks noChangeAspect="1"/>
        </xdr:cNvPicPr>
      </xdr:nvPicPr>
      <xdr:blipFill>
        <a:blip xmlns:r="http://schemas.openxmlformats.org/officeDocument/2006/relationships" r:embed="rId2"/>
        <a:stretch>
          <a:fillRect/>
        </a:stretch>
      </xdr:blipFill>
      <xdr:spPr>
        <a:xfrm>
          <a:off x="0" y="12334874"/>
          <a:ext cx="8689087" cy="12068175"/>
        </a:xfrm>
        <a:prstGeom prst="rect">
          <a:avLst/>
        </a:prstGeom>
      </xdr:spPr>
    </xdr:pic>
    <xdr:clientData/>
  </xdr:twoCellAnchor>
  <xdr:twoCellAnchor editAs="oneCell">
    <xdr:from>
      <xdr:col>12</xdr:col>
      <xdr:colOff>371474</xdr:colOff>
      <xdr:row>0</xdr:row>
      <xdr:rowOff>0</xdr:rowOff>
    </xdr:from>
    <xdr:to>
      <xdr:col>25</xdr:col>
      <xdr:colOff>9524</xdr:colOff>
      <xdr:row>75</xdr:row>
      <xdr:rowOff>139339</xdr:rowOff>
    </xdr:to>
    <xdr:pic>
      <xdr:nvPicPr>
        <xdr:cNvPr id="4" name="Grafik 3">
          <a:extLst>
            <a:ext uri="{FF2B5EF4-FFF2-40B4-BE49-F238E27FC236}">
              <a16:creationId xmlns:a16="http://schemas.microsoft.com/office/drawing/2014/main" id="{5C295A74-3C6C-4E28-9493-364EDCB75E45}"/>
            </a:ext>
          </a:extLst>
        </xdr:cNvPr>
        <xdr:cNvPicPr>
          <a:picLocks noChangeAspect="1"/>
        </xdr:cNvPicPr>
      </xdr:nvPicPr>
      <xdr:blipFill>
        <a:blip xmlns:r="http://schemas.openxmlformats.org/officeDocument/2006/relationships" r:embed="rId3"/>
        <a:stretch>
          <a:fillRect/>
        </a:stretch>
      </xdr:blipFill>
      <xdr:spPr>
        <a:xfrm>
          <a:off x="8753474" y="0"/>
          <a:ext cx="8867775" cy="12283714"/>
        </a:xfrm>
        <a:prstGeom prst="rect">
          <a:avLst/>
        </a:prstGeom>
      </xdr:spPr>
    </xdr:pic>
    <xdr:clientData/>
  </xdr:twoCellAnchor>
  <xdr:twoCellAnchor editAs="oneCell">
    <xdr:from>
      <xdr:col>12</xdr:col>
      <xdr:colOff>381001</xdr:colOff>
      <xdr:row>76</xdr:row>
      <xdr:rowOff>19050</xdr:rowOff>
    </xdr:from>
    <xdr:to>
      <xdr:col>24</xdr:col>
      <xdr:colOff>457201</xdr:colOff>
      <xdr:row>150</xdr:row>
      <xdr:rowOff>110160</xdr:rowOff>
    </xdr:to>
    <xdr:pic>
      <xdr:nvPicPr>
        <xdr:cNvPr id="5" name="Grafik 4">
          <a:extLst>
            <a:ext uri="{FF2B5EF4-FFF2-40B4-BE49-F238E27FC236}">
              <a16:creationId xmlns:a16="http://schemas.microsoft.com/office/drawing/2014/main" id="{E3021D12-90AD-43A6-A3EA-591390D730A1}"/>
            </a:ext>
          </a:extLst>
        </xdr:cNvPr>
        <xdr:cNvPicPr>
          <a:picLocks noChangeAspect="1"/>
        </xdr:cNvPicPr>
      </xdr:nvPicPr>
      <xdr:blipFill>
        <a:blip xmlns:r="http://schemas.openxmlformats.org/officeDocument/2006/relationships" r:embed="rId4"/>
        <a:stretch>
          <a:fillRect/>
        </a:stretch>
      </xdr:blipFill>
      <xdr:spPr>
        <a:xfrm>
          <a:off x="8763001" y="12325350"/>
          <a:ext cx="8839200" cy="12073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123827</xdr:colOff>
      <xdr:row>3</xdr:row>
      <xdr:rowOff>0</xdr:rowOff>
    </xdr:from>
    <xdr:ext cx="504824" cy="142875"/>
    <xdr:sp macro="" textlink="">
      <xdr:nvSpPr>
        <xdr:cNvPr id="5" name="Textfeld 4">
          <a:extLst>
            <a:ext uri="{FF2B5EF4-FFF2-40B4-BE49-F238E27FC236}">
              <a16:creationId xmlns:a16="http://schemas.microsoft.com/office/drawing/2014/main" id="{00000000-0008-0000-0100-000005000000}"/>
            </a:ext>
          </a:extLst>
        </xdr:cNvPr>
        <xdr:cNvSpPr txBox="1"/>
      </xdr:nvSpPr>
      <xdr:spPr>
        <a:xfrm>
          <a:off x="123827" y="504825"/>
          <a:ext cx="504824" cy="142875"/>
        </a:xfrm>
        <a:prstGeom prst="rect">
          <a:avLst/>
        </a:prstGeom>
        <a:solidFill>
          <a:schemeClr val="bg1">
            <a:lumMod val="75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oneCellAnchor>
    <xdr:from>
      <xdr:col>2</xdr:col>
      <xdr:colOff>114300</xdr:colOff>
      <xdr:row>1</xdr:row>
      <xdr:rowOff>19050</xdr:rowOff>
    </xdr:from>
    <xdr:ext cx="504824" cy="142875"/>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114300" y="190500"/>
          <a:ext cx="504824" cy="142875"/>
        </a:xfrm>
        <a:prstGeom prst="rect">
          <a:avLst/>
        </a:prstGeom>
        <a:solidFill>
          <a:schemeClr val="tx2">
            <a:lumMod val="20000"/>
            <a:lumOff val="80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oneCellAnchor>
    <xdr:from>
      <xdr:col>14</xdr:col>
      <xdr:colOff>123827</xdr:colOff>
      <xdr:row>3</xdr:row>
      <xdr:rowOff>0</xdr:rowOff>
    </xdr:from>
    <xdr:ext cx="504824" cy="142875"/>
    <xdr:sp macro="" textlink="">
      <xdr:nvSpPr>
        <xdr:cNvPr id="9" name="Textfeld 8">
          <a:extLst>
            <a:ext uri="{FF2B5EF4-FFF2-40B4-BE49-F238E27FC236}">
              <a16:creationId xmlns:a16="http://schemas.microsoft.com/office/drawing/2014/main" id="{00000000-0008-0000-0100-000009000000}"/>
            </a:ext>
          </a:extLst>
        </xdr:cNvPr>
        <xdr:cNvSpPr txBox="1"/>
      </xdr:nvSpPr>
      <xdr:spPr>
        <a:xfrm>
          <a:off x="885827" y="1114425"/>
          <a:ext cx="504824" cy="142875"/>
        </a:xfrm>
        <a:prstGeom prst="rect">
          <a:avLst/>
        </a:prstGeom>
        <a:solidFill>
          <a:schemeClr val="bg1">
            <a:lumMod val="75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oneCellAnchor>
    <xdr:from>
      <xdr:col>14</xdr:col>
      <xdr:colOff>114300</xdr:colOff>
      <xdr:row>1</xdr:row>
      <xdr:rowOff>19050</xdr:rowOff>
    </xdr:from>
    <xdr:ext cx="504824" cy="142875"/>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876300" y="771525"/>
          <a:ext cx="504824" cy="142875"/>
        </a:xfrm>
        <a:prstGeom prst="rect">
          <a:avLst/>
        </a:prstGeom>
        <a:solidFill>
          <a:schemeClr val="tx2">
            <a:lumMod val="20000"/>
            <a:lumOff val="80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twoCellAnchor editAs="oneCell">
    <xdr:from>
      <xdr:col>10</xdr:col>
      <xdr:colOff>114300</xdr:colOff>
      <xdr:row>0</xdr:row>
      <xdr:rowOff>180975</xdr:rowOff>
    </xdr:from>
    <xdr:to>
      <xdr:col>11</xdr:col>
      <xdr:colOff>745016</xdr:colOff>
      <xdr:row>0</xdr:row>
      <xdr:rowOff>548439</xdr:rowOff>
    </xdr:to>
    <xdr:pic>
      <xdr:nvPicPr>
        <xdr:cNvPr id="8" name="Picture 2">
          <a:extLst>
            <a:ext uri="{FF2B5EF4-FFF2-40B4-BE49-F238E27FC236}">
              <a16:creationId xmlns:a16="http://schemas.microsoft.com/office/drawing/2014/main" id="{1486ABA9-6958-4C54-B8A2-BBD78A5620E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7286625" y="180975"/>
          <a:ext cx="1392716" cy="367464"/>
        </a:xfrm>
        <a:prstGeom prst="rect">
          <a:avLst/>
        </a:prstGeom>
      </xdr:spPr>
    </xdr:pic>
    <xdr:clientData/>
  </xdr:twoCellAnchor>
  <xdr:twoCellAnchor editAs="oneCell">
    <xdr:from>
      <xdr:col>22</xdr:col>
      <xdr:colOff>161925</xdr:colOff>
      <xdr:row>0</xdr:row>
      <xdr:rowOff>190500</xdr:rowOff>
    </xdr:from>
    <xdr:to>
      <xdr:col>23</xdr:col>
      <xdr:colOff>792641</xdr:colOff>
      <xdr:row>0</xdr:row>
      <xdr:rowOff>557964</xdr:rowOff>
    </xdr:to>
    <xdr:pic>
      <xdr:nvPicPr>
        <xdr:cNvPr id="11" name="Picture 2">
          <a:extLst>
            <a:ext uri="{FF2B5EF4-FFF2-40B4-BE49-F238E27FC236}">
              <a16:creationId xmlns:a16="http://schemas.microsoft.com/office/drawing/2014/main" id="{DE5B688B-8E80-4D8C-A406-2CC0A882A4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15649575" y="190500"/>
          <a:ext cx="1392716" cy="3674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438173</xdr:colOff>
      <xdr:row>0</xdr:row>
      <xdr:rowOff>78707</xdr:rowOff>
    </xdr:from>
    <xdr:to>
      <xdr:col>10</xdr:col>
      <xdr:colOff>1219701</xdr:colOff>
      <xdr:row>0</xdr:row>
      <xdr:rowOff>446171</xdr:rowOff>
    </xdr:to>
    <xdr:pic>
      <xdr:nvPicPr>
        <xdr:cNvPr id="7" name="Picture 2">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6238397" y="78707"/>
          <a:ext cx="1393133" cy="367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0</xdr:row>
      <xdr:rowOff>87312</xdr:rowOff>
    </xdr:from>
    <xdr:to>
      <xdr:col>10</xdr:col>
      <xdr:colOff>718029</xdr:colOff>
      <xdr:row>0</xdr:row>
      <xdr:rowOff>454776</xdr:rowOff>
    </xdr:to>
    <xdr:pic>
      <xdr:nvPicPr>
        <xdr:cNvPr id="3" name="Picture 2">
          <a:extLst>
            <a:ext uri="{FF2B5EF4-FFF2-40B4-BE49-F238E27FC236}">
              <a16:creationId xmlns:a16="http://schemas.microsoft.com/office/drawing/2014/main" id="{FECF5753-6D40-4228-969B-D6BCAC989DE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6516688" y="87312"/>
          <a:ext cx="1392716" cy="367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23812</xdr:colOff>
      <xdr:row>0</xdr:row>
      <xdr:rowOff>87313</xdr:rowOff>
    </xdr:from>
    <xdr:to>
      <xdr:col>5</xdr:col>
      <xdr:colOff>1416528</xdr:colOff>
      <xdr:row>0</xdr:row>
      <xdr:rowOff>454777</xdr:rowOff>
    </xdr:to>
    <xdr:pic>
      <xdr:nvPicPr>
        <xdr:cNvPr id="3" name="Picture 2">
          <a:extLst>
            <a:ext uri="{FF2B5EF4-FFF2-40B4-BE49-F238E27FC236}">
              <a16:creationId xmlns:a16="http://schemas.microsoft.com/office/drawing/2014/main" id="{AC756810-4E81-4FBF-B644-968D4575677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6167437" y="87313"/>
          <a:ext cx="1392716" cy="367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71437</xdr:colOff>
      <xdr:row>0</xdr:row>
      <xdr:rowOff>87313</xdr:rowOff>
    </xdr:from>
    <xdr:to>
      <xdr:col>6</xdr:col>
      <xdr:colOff>1464153</xdr:colOff>
      <xdr:row>0</xdr:row>
      <xdr:rowOff>454777</xdr:rowOff>
    </xdr:to>
    <xdr:pic>
      <xdr:nvPicPr>
        <xdr:cNvPr id="3" name="Picture 2">
          <a:extLst>
            <a:ext uri="{FF2B5EF4-FFF2-40B4-BE49-F238E27FC236}">
              <a16:creationId xmlns:a16="http://schemas.microsoft.com/office/drawing/2014/main" id="{B4AEE4BB-6AB0-46B8-9543-0BA20C714A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5929312" y="87313"/>
          <a:ext cx="1392716" cy="367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150813</xdr:colOff>
      <xdr:row>0</xdr:row>
      <xdr:rowOff>87313</xdr:rowOff>
    </xdr:from>
    <xdr:to>
      <xdr:col>13</xdr:col>
      <xdr:colOff>368779</xdr:colOff>
      <xdr:row>0</xdr:row>
      <xdr:rowOff>454777</xdr:rowOff>
    </xdr:to>
    <xdr:pic>
      <xdr:nvPicPr>
        <xdr:cNvPr id="3" name="Picture 2">
          <a:extLst>
            <a:ext uri="{FF2B5EF4-FFF2-40B4-BE49-F238E27FC236}">
              <a16:creationId xmlns:a16="http://schemas.microsoft.com/office/drawing/2014/main" id="{7C60CEBD-4562-4B7E-824F-0D32F032495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5707063" y="87313"/>
          <a:ext cx="1392716" cy="36746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9C2E4-5E85-4487-998B-108531FBB6D7}">
  <dimension ref="A1"/>
  <sheetViews>
    <sheetView zoomScaleNormal="100" workbookViewId="0">
      <selection activeCell="AA103" sqref="AA103"/>
    </sheetView>
  </sheetViews>
  <sheetFormatPr baseColWidth="10" defaultColWidth="11.42578125" defaultRowHeight="12.75"/>
  <cols>
    <col min="1" max="11" width="11.42578125" style="210"/>
    <col min="12" max="12" width="5.85546875" style="210" customWidth="1"/>
    <col min="13" max="13" width="1.5703125" style="210" customWidth="1"/>
    <col min="14" max="24" width="11.42578125" style="210"/>
    <col min="25" max="25" width="7.140625" style="210" customWidth="1"/>
    <col min="26" max="16384" width="11.42578125" style="210"/>
  </cols>
  <sheetData/>
  <sheetProtection sheet="1" objects="1" scenarios="1" selectLockedCells="1" selectUnlockedCells="1"/>
  <pageMargins left="0.70866141732283472" right="0.70866141732283472" top="0.78740157480314965" bottom="0.78740157480314965" header="0.31496062992125984" footer="0.31496062992125984"/>
  <pageSetup paperSize="9" scale="63" fitToWidth="2" fitToHeight="2" orientation="portrait" r:id="rId1"/>
  <headerFooter>
    <oddFooter>&amp;L&amp;6T.PU.005 Supplier Self Assessment and Approval Form / V3.3 / T.Schneider / 14.03.2024&amp;C&amp;1#&amp;8&amp;KA6A6A6restricted&amp;R&amp;6Data Protection Information</oddFooter>
  </headerFooter>
  <rowBreaks count="1" manualBreakCount="1">
    <brk id="76" max="16383" man="1"/>
  </rowBreaks>
  <colBreaks count="1" manualBreakCount="1">
    <brk id="12" max="15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7D464-2BDB-48E8-B58C-29839B698D27}">
  <sheetPr>
    <pageSetUpPr fitToPage="1"/>
  </sheetPr>
  <dimension ref="B1:AA42"/>
  <sheetViews>
    <sheetView showGridLines="0" zoomScaleNormal="100" workbookViewId="0">
      <selection activeCell="N20" sqref="N20:R20"/>
    </sheetView>
  </sheetViews>
  <sheetFormatPr baseColWidth="10" defaultColWidth="11.42578125" defaultRowHeight="12.75"/>
  <cols>
    <col min="1" max="1" width="10.42578125" customWidth="1"/>
    <col min="7" max="7" width="4.42578125" customWidth="1"/>
    <col min="8" max="8" width="12.7109375" customWidth="1"/>
    <col min="12" max="12" width="13.140625" customWidth="1"/>
    <col min="13" max="13" width="2" customWidth="1"/>
    <col min="19" max="19" width="4.85546875" customWidth="1"/>
    <col min="20" max="20" width="13.28515625" customWidth="1"/>
    <col min="24" max="24" width="13.28515625" customWidth="1"/>
  </cols>
  <sheetData>
    <row r="1" spans="2:27" ht="59.25" customHeight="1" thickBot="1">
      <c r="B1" s="346" t="s">
        <v>379</v>
      </c>
      <c r="C1" s="346"/>
      <c r="D1" s="346"/>
      <c r="E1" s="346"/>
      <c r="F1" s="346"/>
      <c r="G1" s="346"/>
      <c r="H1" s="346"/>
      <c r="I1" s="346"/>
      <c r="J1" s="346"/>
      <c r="K1" s="346"/>
      <c r="L1" s="346"/>
      <c r="M1" s="142"/>
      <c r="N1" s="346" t="s">
        <v>380</v>
      </c>
      <c r="O1" s="346"/>
      <c r="P1" s="346"/>
      <c r="Q1" s="346"/>
      <c r="R1" s="346"/>
      <c r="S1" s="346"/>
      <c r="T1" s="346"/>
      <c r="U1" s="346"/>
      <c r="V1" s="346"/>
      <c r="W1" s="346"/>
      <c r="X1" s="346"/>
      <c r="Y1" s="142"/>
      <c r="Z1" s="142"/>
      <c r="AA1" s="142"/>
    </row>
    <row r="2" spans="2:27" ht="14.25" customHeight="1">
      <c r="B2" s="172" t="s">
        <v>375</v>
      </c>
      <c r="C2" s="173"/>
      <c r="D2" s="174" t="s">
        <v>391</v>
      </c>
      <c r="E2" s="175"/>
      <c r="F2" s="176"/>
      <c r="G2" s="176"/>
      <c r="H2" s="176"/>
      <c r="I2" s="176"/>
      <c r="J2" s="176"/>
      <c r="K2" s="176"/>
      <c r="L2" s="177"/>
      <c r="M2" s="142"/>
      <c r="N2" s="172" t="s">
        <v>381</v>
      </c>
      <c r="O2" s="173"/>
      <c r="P2" s="174" t="s">
        <v>393</v>
      </c>
      <c r="Q2" s="175"/>
      <c r="R2" s="176"/>
      <c r="S2" s="176"/>
      <c r="T2" s="176"/>
      <c r="U2" s="176"/>
      <c r="V2" s="176"/>
      <c r="W2" s="176"/>
      <c r="X2" s="177"/>
      <c r="Y2" s="142"/>
      <c r="Z2" s="142"/>
      <c r="AA2" s="142"/>
    </row>
    <row r="3" spans="2:27" ht="14.25" customHeight="1">
      <c r="B3" s="178"/>
      <c r="C3" s="179"/>
      <c r="D3" s="180"/>
      <c r="E3" s="13"/>
      <c r="F3" s="181"/>
      <c r="G3" s="181"/>
      <c r="H3" s="181"/>
      <c r="I3" s="181"/>
      <c r="J3" s="181"/>
      <c r="K3" s="181"/>
      <c r="L3" s="182"/>
      <c r="M3" s="142"/>
      <c r="N3" s="178"/>
      <c r="O3" s="179"/>
      <c r="P3" s="180"/>
      <c r="Q3" s="13"/>
      <c r="R3" s="181"/>
      <c r="S3" s="181"/>
      <c r="T3" s="181"/>
      <c r="U3" s="181"/>
      <c r="V3" s="181"/>
      <c r="W3" s="181"/>
      <c r="X3" s="182"/>
      <c r="Y3" s="142"/>
      <c r="Z3" s="142"/>
      <c r="AA3" s="142"/>
    </row>
    <row r="4" spans="2:27" ht="14.25" customHeight="1">
      <c r="B4" s="178"/>
      <c r="C4" s="179"/>
      <c r="D4" s="180" t="s">
        <v>392</v>
      </c>
      <c r="E4" s="13"/>
      <c r="F4" s="181"/>
      <c r="G4" s="181"/>
      <c r="H4" s="181"/>
      <c r="I4" s="181"/>
      <c r="J4" s="181"/>
      <c r="K4" s="181"/>
      <c r="L4" s="182"/>
      <c r="M4" s="142"/>
      <c r="N4" s="178"/>
      <c r="O4" s="179"/>
      <c r="P4" s="180" t="s">
        <v>394</v>
      </c>
      <c r="Q4" s="13"/>
      <c r="R4" s="181"/>
      <c r="S4" s="181"/>
      <c r="T4" s="181"/>
      <c r="U4" s="181"/>
      <c r="V4" s="181"/>
      <c r="W4" s="181"/>
      <c r="X4" s="182"/>
      <c r="Y4" s="142"/>
      <c r="Z4" s="142"/>
      <c r="AA4" s="142"/>
    </row>
    <row r="5" spans="2:27" ht="12.75" customHeight="1" thickBot="1">
      <c r="B5" s="183"/>
      <c r="C5" s="170"/>
      <c r="D5" s="184"/>
      <c r="E5" s="171"/>
      <c r="F5" s="170"/>
      <c r="G5" s="170"/>
      <c r="H5" s="170"/>
      <c r="I5" s="170"/>
      <c r="J5" s="170"/>
      <c r="K5" s="170"/>
      <c r="L5" s="185"/>
      <c r="M5" s="142"/>
      <c r="N5" s="183"/>
      <c r="O5" s="170"/>
      <c r="P5" s="184"/>
      <c r="Q5" s="171"/>
      <c r="R5" s="170"/>
      <c r="S5" s="170"/>
      <c r="T5" s="170"/>
      <c r="U5" s="170"/>
      <c r="V5" s="170"/>
      <c r="W5" s="170"/>
      <c r="X5" s="185"/>
      <c r="Y5" s="142"/>
      <c r="Z5" s="142"/>
      <c r="AA5" s="142"/>
    </row>
    <row r="6" spans="2:27" ht="20.100000000000001" customHeight="1" thickBot="1">
      <c r="B6" s="347" t="s">
        <v>1228</v>
      </c>
      <c r="C6" s="347"/>
      <c r="D6" s="347"/>
      <c r="E6" s="347"/>
      <c r="F6" s="347"/>
      <c r="G6" s="348" t="s">
        <v>1229</v>
      </c>
      <c r="H6" s="348"/>
      <c r="I6" s="348"/>
      <c r="J6" s="348"/>
      <c r="K6" s="348"/>
      <c r="L6" s="348"/>
      <c r="M6" s="142"/>
      <c r="N6" s="347" t="str">
        <f>B6</f>
        <v>BENTELER</v>
      </c>
      <c r="O6" s="347"/>
      <c r="P6" s="347"/>
      <c r="Q6" s="347"/>
      <c r="R6" s="347"/>
      <c r="S6" s="348" t="s">
        <v>1230</v>
      </c>
      <c r="T6" s="348"/>
      <c r="U6" s="348"/>
      <c r="V6" s="348"/>
      <c r="W6" s="348"/>
      <c r="X6" s="348"/>
      <c r="Y6" s="142"/>
      <c r="Z6" s="142"/>
      <c r="AA6" s="142"/>
    </row>
    <row r="7" spans="2:27" ht="20.100000000000001" customHeight="1" thickBot="1">
      <c r="B7" s="328" t="s">
        <v>378</v>
      </c>
      <c r="C7" s="329"/>
      <c r="D7" s="329"/>
      <c r="E7" s="329"/>
      <c r="F7" s="330"/>
      <c r="G7" s="339" t="s">
        <v>368</v>
      </c>
      <c r="H7" s="349"/>
      <c r="I7" s="349"/>
      <c r="J7" s="349"/>
      <c r="K7" s="349"/>
      <c r="L7" s="349"/>
      <c r="M7" s="142"/>
      <c r="N7" s="328" t="s">
        <v>382</v>
      </c>
      <c r="O7" s="329"/>
      <c r="P7" s="329"/>
      <c r="Q7" s="329"/>
      <c r="R7" s="330"/>
      <c r="S7" s="339" t="s">
        <v>1239</v>
      </c>
      <c r="T7" s="349"/>
      <c r="U7" s="349"/>
      <c r="V7" s="349"/>
      <c r="W7" s="349"/>
      <c r="X7" s="349"/>
      <c r="Y7" s="142"/>
      <c r="Z7" s="142"/>
      <c r="AA7" s="142"/>
    </row>
    <row r="8" spans="2:27" ht="20.100000000000001" customHeight="1">
      <c r="B8" s="319" t="s">
        <v>1852</v>
      </c>
      <c r="C8" s="320"/>
      <c r="D8" s="320"/>
      <c r="E8" s="320"/>
      <c r="F8" s="321"/>
      <c r="G8" s="169" t="s">
        <v>365</v>
      </c>
      <c r="H8" s="350" t="s">
        <v>367</v>
      </c>
      <c r="I8" s="351"/>
      <c r="J8" s="351"/>
      <c r="K8" s="351"/>
      <c r="L8" s="352"/>
      <c r="M8" s="142"/>
      <c r="N8" s="319" t="s">
        <v>1854</v>
      </c>
      <c r="O8" s="320"/>
      <c r="P8" s="320"/>
      <c r="Q8" s="320"/>
      <c r="R8" s="321"/>
      <c r="S8" s="169" t="s">
        <v>365</v>
      </c>
      <c r="T8" s="350" t="s">
        <v>383</v>
      </c>
      <c r="U8" s="351"/>
      <c r="V8" s="351"/>
      <c r="W8" s="351"/>
      <c r="X8" s="352"/>
      <c r="Y8" s="142"/>
      <c r="Z8" s="142"/>
      <c r="AA8" s="142"/>
    </row>
    <row r="9" spans="2:27" ht="20.100000000000001" customHeight="1">
      <c r="B9" s="322"/>
      <c r="C9" s="323"/>
      <c r="D9" s="323"/>
      <c r="E9" s="323"/>
      <c r="F9" s="324"/>
      <c r="G9" s="317" t="s">
        <v>366</v>
      </c>
      <c r="H9" s="312" t="s">
        <v>1593</v>
      </c>
      <c r="I9" s="313"/>
      <c r="J9" s="313"/>
      <c r="K9" s="313"/>
      <c r="L9" s="314"/>
      <c r="M9" s="142"/>
      <c r="N9" s="322"/>
      <c r="O9" s="323"/>
      <c r="P9" s="323"/>
      <c r="Q9" s="323"/>
      <c r="R9" s="324"/>
      <c r="S9" s="317" t="s">
        <v>366</v>
      </c>
      <c r="T9" s="312" t="s">
        <v>1594</v>
      </c>
      <c r="U9" s="313"/>
      <c r="V9" s="313"/>
      <c r="W9" s="313"/>
      <c r="X9" s="314"/>
      <c r="Y9" s="142"/>
      <c r="Z9" s="142"/>
      <c r="AA9" s="142"/>
    </row>
    <row r="10" spans="2:27" ht="29.25" customHeight="1" thickBot="1">
      <c r="B10" s="325"/>
      <c r="C10" s="326"/>
      <c r="D10" s="326"/>
      <c r="E10" s="326"/>
      <c r="F10" s="327"/>
      <c r="G10" s="318"/>
      <c r="H10" s="315"/>
      <c r="I10" s="315"/>
      <c r="J10" s="315"/>
      <c r="K10" s="315"/>
      <c r="L10" s="316"/>
      <c r="M10" s="142"/>
      <c r="N10" s="325"/>
      <c r="O10" s="326"/>
      <c r="P10" s="326"/>
      <c r="Q10" s="326"/>
      <c r="R10" s="327"/>
      <c r="S10" s="318"/>
      <c r="T10" s="315"/>
      <c r="U10" s="315"/>
      <c r="V10" s="315"/>
      <c r="W10" s="315"/>
      <c r="X10" s="316"/>
      <c r="Y10" s="142"/>
      <c r="Z10" s="142"/>
      <c r="AA10" s="142"/>
    </row>
    <row r="11" spans="2:27" ht="20.100000000000001" customHeight="1" thickBot="1">
      <c r="B11" s="328" t="s">
        <v>1715</v>
      </c>
      <c r="C11" s="329"/>
      <c r="D11" s="329"/>
      <c r="E11" s="329"/>
      <c r="F11" s="330"/>
      <c r="G11" s="339" t="s">
        <v>369</v>
      </c>
      <c r="H11" s="339"/>
      <c r="I11" s="339"/>
      <c r="J11" s="339"/>
      <c r="K11" s="339"/>
      <c r="L11" s="339"/>
      <c r="M11" s="142"/>
      <c r="N11" s="328" t="s">
        <v>1714</v>
      </c>
      <c r="O11" s="329"/>
      <c r="P11" s="329"/>
      <c r="Q11" s="329"/>
      <c r="R11" s="330"/>
      <c r="S11" s="339" t="s">
        <v>1240</v>
      </c>
      <c r="T11" s="339"/>
      <c r="U11" s="339"/>
      <c r="V11" s="339"/>
      <c r="W11" s="339"/>
      <c r="X11" s="339"/>
      <c r="Y11" s="142"/>
      <c r="Z11" s="142"/>
      <c r="AA11" s="142"/>
    </row>
    <row r="12" spans="2:27" ht="20.100000000000001" customHeight="1">
      <c r="B12" s="319" t="s">
        <v>1851</v>
      </c>
      <c r="C12" s="320"/>
      <c r="D12" s="320"/>
      <c r="E12" s="320"/>
      <c r="F12" s="321"/>
      <c r="G12" s="334" t="s">
        <v>365</v>
      </c>
      <c r="H12" s="331" t="s">
        <v>1595</v>
      </c>
      <c r="I12" s="331"/>
      <c r="J12" s="331"/>
      <c r="K12" s="331"/>
      <c r="L12" s="332"/>
      <c r="M12" s="142"/>
      <c r="N12" s="319" t="s">
        <v>1855</v>
      </c>
      <c r="O12" s="320"/>
      <c r="P12" s="320"/>
      <c r="Q12" s="320"/>
      <c r="R12" s="321"/>
      <c r="S12" s="334" t="s">
        <v>365</v>
      </c>
      <c r="T12" s="331" t="s">
        <v>1596</v>
      </c>
      <c r="U12" s="331"/>
      <c r="V12" s="331"/>
      <c r="W12" s="331"/>
      <c r="X12" s="332"/>
      <c r="Y12" s="142"/>
      <c r="Z12" s="142"/>
      <c r="AA12" s="142"/>
    </row>
    <row r="13" spans="2:27" ht="57.75" customHeight="1">
      <c r="B13" s="322"/>
      <c r="C13" s="323"/>
      <c r="D13" s="323"/>
      <c r="E13" s="323"/>
      <c r="F13" s="324"/>
      <c r="G13" s="335"/>
      <c r="H13" s="312"/>
      <c r="I13" s="312"/>
      <c r="J13" s="312"/>
      <c r="K13" s="312"/>
      <c r="L13" s="333"/>
      <c r="M13" s="142"/>
      <c r="N13" s="322"/>
      <c r="O13" s="323"/>
      <c r="P13" s="323"/>
      <c r="Q13" s="323"/>
      <c r="R13" s="324"/>
      <c r="S13" s="335"/>
      <c r="T13" s="312"/>
      <c r="U13" s="312"/>
      <c r="V13" s="312"/>
      <c r="W13" s="312"/>
      <c r="X13" s="333"/>
      <c r="Y13" s="142"/>
      <c r="Z13" s="142"/>
      <c r="AA13" s="142"/>
    </row>
    <row r="14" spans="2:27" ht="20.100000000000001" customHeight="1">
      <c r="B14" s="322"/>
      <c r="C14" s="323"/>
      <c r="D14" s="323"/>
      <c r="E14" s="323"/>
      <c r="F14" s="324"/>
      <c r="G14" s="335" t="s">
        <v>366</v>
      </c>
      <c r="H14" s="312" t="s">
        <v>374</v>
      </c>
      <c r="I14" s="312"/>
      <c r="J14" s="312"/>
      <c r="K14" s="312"/>
      <c r="L14" s="333"/>
      <c r="M14" s="142"/>
      <c r="N14" s="322"/>
      <c r="O14" s="323"/>
      <c r="P14" s="323"/>
      <c r="Q14" s="323"/>
      <c r="R14" s="324"/>
      <c r="S14" s="335" t="s">
        <v>366</v>
      </c>
      <c r="T14" s="312" t="s">
        <v>384</v>
      </c>
      <c r="U14" s="312"/>
      <c r="V14" s="312"/>
      <c r="W14" s="312"/>
      <c r="X14" s="333"/>
      <c r="Y14" s="142"/>
      <c r="Z14" s="142"/>
      <c r="AA14" s="142"/>
    </row>
    <row r="15" spans="2:27" ht="45" customHeight="1" thickBot="1">
      <c r="B15" s="325"/>
      <c r="C15" s="326"/>
      <c r="D15" s="326"/>
      <c r="E15" s="326"/>
      <c r="F15" s="327"/>
      <c r="G15" s="336"/>
      <c r="H15" s="337"/>
      <c r="I15" s="337"/>
      <c r="J15" s="337"/>
      <c r="K15" s="337"/>
      <c r="L15" s="338"/>
      <c r="M15" s="142"/>
      <c r="N15" s="325"/>
      <c r="O15" s="326"/>
      <c r="P15" s="326"/>
      <c r="Q15" s="326"/>
      <c r="R15" s="327"/>
      <c r="S15" s="336"/>
      <c r="T15" s="337"/>
      <c r="U15" s="337"/>
      <c r="V15" s="337"/>
      <c r="W15" s="337"/>
      <c r="X15" s="338"/>
      <c r="Y15" s="142"/>
      <c r="Z15" s="142"/>
      <c r="AA15" s="142"/>
    </row>
    <row r="16" spans="2:27" ht="20.100000000000001" customHeight="1" thickBot="1">
      <c r="B16" s="328" t="s">
        <v>1717</v>
      </c>
      <c r="C16" s="329"/>
      <c r="D16" s="329"/>
      <c r="E16" s="329"/>
      <c r="F16" s="330"/>
      <c r="G16" s="340" t="s">
        <v>370</v>
      </c>
      <c r="H16" s="341"/>
      <c r="I16" s="341"/>
      <c r="J16" s="341"/>
      <c r="K16" s="341"/>
      <c r="L16" s="342"/>
      <c r="M16" s="142"/>
      <c r="N16" s="328" t="s">
        <v>1716</v>
      </c>
      <c r="O16" s="329"/>
      <c r="P16" s="329"/>
      <c r="Q16" s="329"/>
      <c r="R16" s="330"/>
      <c r="S16" s="340" t="s">
        <v>1241</v>
      </c>
      <c r="T16" s="341"/>
      <c r="U16" s="341"/>
      <c r="V16" s="341"/>
      <c r="W16" s="341"/>
      <c r="X16" s="342"/>
      <c r="Y16" s="142"/>
      <c r="Z16" s="142"/>
      <c r="AA16" s="142"/>
    </row>
    <row r="17" spans="2:27" ht="20.100000000000001" customHeight="1">
      <c r="B17" s="319" t="s">
        <v>1853</v>
      </c>
      <c r="C17" s="320"/>
      <c r="D17" s="320"/>
      <c r="E17" s="320"/>
      <c r="F17" s="321"/>
      <c r="G17" s="345" t="s">
        <v>365</v>
      </c>
      <c r="H17" s="343" t="s">
        <v>373</v>
      </c>
      <c r="I17" s="343"/>
      <c r="J17" s="343"/>
      <c r="K17" s="343"/>
      <c r="L17" s="344"/>
      <c r="M17" s="142"/>
      <c r="N17" s="319" t="s">
        <v>1856</v>
      </c>
      <c r="O17" s="320"/>
      <c r="P17" s="320"/>
      <c r="Q17" s="320"/>
      <c r="R17" s="321"/>
      <c r="S17" s="345" t="s">
        <v>365</v>
      </c>
      <c r="T17" s="343" t="s">
        <v>1237</v>
      </c>
      <c r="U17" s="343"/>
      <c r="V17" s="343"/>
      <c r="W17" s="343"/>
      <c r="X17" s="344"/>
      <c r="Y17" s="142"/>
      <c r="Z17" s="142"/>
      <c r="AA17" s="142"/>
    </row>
    <row r="18" spans="2:27" ht="20.100000000000001" customHeight="1">
      <c r="B18" s="322"/>
      <c r="C18" s="323"/>
      <c r="D18" s="323"/>
      <c r="E18" s="323"/>
      <c r="F18" s="324"/>
      <c r="G18" s="317"/>
      <c r="H18" s="312"/>
      <c r="I18" s="312"/>
      <c r="J18" s="312"/>
      <c r="K18" s="312"/>
      <c r="L18" s="333"/>
      <c r="M18" s="142"/>
      <c r="N18" s="322"/>
      <c r="O18" s="323"/>
      <c r="P18" s="323"/>
      <c r="Q18" s="323"/>
      <c r="R18" s="324"/>
      <c r="S18" s="317"/>
      <c r="T18" s="312"/>
      <c r="U18" s="312"/>
      <c r="V18" s="312"/>
      <c r="W18" s="312"/>
      <c r="X18" s="333"/>
      <c r="Y18" s="142"/>
      <c r="Z18" s="142"/>
      <c r="AA18" s="142"/>
    </row>
    <row r="19" spans="2:27" ht="42.75" customHeight="1" thickBot="1">
      <c r="B19" s="322"/>
      <c r="C19" s="323"/>
      <c r="D19" s="323"/>
      <c r="E19" s="323"/>
      <c r="F19" s="324"/>
      <c r="G19" s="318"/>
      <c r="H19" s="337"/>
      <c r="I19" s="337"/>
      <c r="J19" s="337"/>
      <c r="K19" s="337"/>
      <c r="L19" s="338"/>
      <c r="M19" s="142"/>
      <c r="N19" s="325"/>
      <c r="O19" s="326"/>
      <c r="P19" s="326"/>
      <c r="Q19" s="326"/>
      <c r="R19" s="327"/>
      <c r="S19" s="318"/>
      <c r="T19" s="337"/>
      <c r="U19" s="337"/>
      <c r="V19" s="337"/>
      <c r="W19" s="337"/>
      <c r="X19" s="338"/>
      <c r="Y19" s="142"/>
      <c r="Z19" s="142"/>
      <c r="AA19" s="142"/>
    </row>
    <row r="20" spans="2:27" ht="20.100000000000001" customHeight="1" thickBot="1">
      <c r="B20" s="339" t="s">
        <v>1719</v>
      </c>
      <c r="C20" s="339"/>
      <c r="D20" s="339"/>
      <c r="E20" s="339"/>
      <c r="F20" s="339"/>
      <c r="G20" s="353" t="s">
        <v>371</v>
      </c>
      <c r="H20" s="353"/>
      <c r="I20" s="353"/>
      <c r="J20" s="353"/>
      <c r="K20" s="353"/>
      <c r="L20" s="354"/>
      <c r="M20" s="142"/>
      <c r="N20" s="339" t="s">
        <v>1718</v>
      </c>
      <c r="O20" s="339"/>
      <c r="P20" s="339"/>
      <c r="Q20" s="339"/>
      <c r="R20" s="339"/>
      <c r="S20" s="353" t="s">
        <v>1242</v>
      </c>
      <c r="T20" s="353"/>
      <c r="U20" s="353"/>
      <c r="V20" s="353"/>
      <c r="W20" s="353"/>
      <c r="X20" s="354"/>
      <c r="Y20" s="142"/>
      <c r="Z20" s="142"/>
      <c r="AA20" s="142"/>
    </row>
    <row r="21" spans="2:27" ht="80.25" customHeight="1">
      <c r="B21" s="319" t="s">
        <v>1720</v>
      </c>
      <c r="C21" s="320"/>
      <c r="D21" s="320"/>
      <c r="E21" s="320"/>
      <c r="F21" s="321"/>
      <c r="G21" s="187" t="s">
        <v>365</v>
      </c>
      <c r="H21" s="331" t="s">
        <v>377</v>
      </c>
      <c r="I21" s="355"/>
      <c r="J21" s="355"/>
      <c r="K21" s="355"/>
      <c r="L21" s="356"/>
      <c r="M21" s="142"/>
      <c r="N21" s="319" t="s">
        <v>1721</v>
      </c>
      <c r="O21" s="320"/>
      <c r="P21" s="320"/>
      <c r="Q21" s="320"/>
      <c r="R21" s="321"/>
      <c r="S21" s="187" t="s">
        <v>365</v>
      </c>
      <c r="T21" s="331" t="s">
        <v>386</v>
      </c>
      <c r="U21" s="355"/>
      <c r="V21" s="355"/>
      <c r="W21" s="355"/>
      <c r="X21" s="356"/>
      <c r="Y21" s="142"/>
      <c r="Z21" s="142"/>
      <c r="AA21" s="142"/>
    </row>
    <row r="22" spans="2:27" ht="31.5" customHeight="1" thickBot="1">
      <c r="B22" s="238"/>
      <c r="C22" s="239"/>
      <c r="D22" s="239"/>
      <c r="E22" s="239"/>
      <c r="F22" s="240"/>
      <c r="G22" s="186" t="s">
        <v>366</v>
      </c>
      <c r="H22" s="312" t="s">
        <v>376</v>
      </c>
      <c r="I22" s="312"/>
      <c r="J22" s="312"/>
      <c r="K22" s="312"/>
      <c r="L22" s="333"/>
      <c r="M22" s="142"/>
      <c r="N22" s="325"/>
      <c r="O22" s="326"/>
      <c r="P22" s="326"/>
      <c r="Q22" s="326"/>
      <c r="R22" s="327"/>
      <c r="S22" s="186" t="s">
        <v>366</v>
      </c>
      <c r="T22" s="312" t="s">
        <v>385</v>
      </c>
      <c r="U22" s="312"/>
      <c r="V22" s="312"/>
      <c r="W22" s="312"/>
      <c r="X22" s="333"/>
      <c r="Y22" s="142"/>
      <c r="Z22" s="142"/>
      <c r="AA22" s="142"/>
    </row>
    <row r="23" spans="2:27" ht="19.5" customHeight="1" thickBot="1">
      <c r="B23" s="377" t="s">
        <v>1723</v>
      </c>
      <c r="C23" s="378"/>
      <c r="D23" s="378"/>
      <c r="E23" s="378"/>
      <c r="F23" s="379"/>
      <c r="G23" s="353" t="s">
        <v>1238</v>
      </c>
      <c r="H23" s="353"/>
      <c r="I23" s="353"/>
      <c r="J23" s="353"/>
      <c r="K23" s="353"/>
      <c r="L23" s="354"/>
      <c r="M23" s="142"/>
      <c r="N23" s="377" t="s">
        <v>1722</v>
      </c>
      <c r="O23" s="378"/>
      <c r="P23" s="378"/>
      <c r="Q23" s="378"/>
      <c r="R23" s="379"/>
      <c r="S23" s="360" t="s">
        <v>1243</v>
      </c>
      <c r="T23" s="353"/>
      <c r="U23" s="353"/>
      <c r="V23" s="353"/>
      <c r="W23" s="353"/>
      <c r="X23" s="354"/>
      <c r="Y23" s="142"/>
      <c r="Z23" s="142"/>
      <c r="AA23" s="142"/>
    </row>
    <row r="24" spans="2:27" ht="19.5" customHeight="1" thickBot="1">
      <c r="B24" s="380"/>
      <c r="C24" s="381"/>
      <c r="D24" s="381"/>
      <c r="E24" s="381"/>
      <c r="F24" s="382"/>
      <c r="G24" s="357" t="s">
        <v>628</v>
      </c>
      <c r="H24" s="357"/>
      <c r="I24" s="357"/>
      <c r="J24" s="357"/>
      <c r="K24" s="357"/>
      <c r="L24" s="358"/>
      <c r="M24" s="142"/>
      <c r="N24" s="380"/>
      <c r="O24" s="381"/>
      <c r="P24" s="381"/>
      <c r="Q24" s="381"/>
      <c r="R24" s="382"/>
      <c r="S24" s="359" t="s">
        <v>629</v>
      </c>
      <c r="T24" s="357"/>
      <c r="U24" s="357"/>
      <c r="V24" s="357"/>
      <c r="W24" s="357"/>
      <c r="X24" s="358"/>
      <c r="Y24" s="142"/>
      <c r="Z24" s="142"/>
      <c r="AA24" s="142"/>
    </row>
    <row r="25" spans="2:27" ht="9" customHeight="1" thickBot="1">
      <c r="B25" s="383"/>
      <c r="C25" s="384"/>
      <c r="D25" s="384"/>
      <c r="E25" s="384"/>
      <c r="F25" s="385"/>
      <c r="G25" s="205"/>
      <c r="H25" s="205"/>
      <c r="I25" s="205"/>
      <c r="J25" s="205"/>
      <c r="K25" s="205"/>
      <c r="L25" s="206"/>
      <c r="N25" s="383"/>
      <c r="O25" s="384"/>
      <c r="P25" s="384"/>
      <c r="Q25" s="384"/>
      <c r="R25" s="385"/>
      <c r="S25" s="207"/>
      <c r="T25" s="205"/>
      <c r="U25" s="205"/>
      <c r="V25" s="205"/>
      <c r="W25" s="205"/>
      <c r="X25" s="206"/>
    </row>
    <row r="26" spans="2:27" ht="19.5" customHeight="1" thickBot="1">
      <c r="B26" s="319" t="s">
        <v>1724</v>
      </c>
      <c r="C26" s="320"/>
      <c r="D26" s="320"/>
      <c r="E26" s="320"/>
      <c r="F26" s="321"/>
      <c r="G26" s="353" t="s">
        <v>1331</v>
      </c>
      <c r="H26" s="353"/>
      <c r="I26" s="353"/>
      <c r="J26" s="353"/>
      <c r="K26" s="353"/>
      <c r="L26" s="354"/>
      <c r="M26" s="142"/>
      <c r="N26" s="319" t="s">
        <v>1725</v>
      </c>
      <c r="O26" s="320"/>
      <c r="P26" s="320"/>
      <c r="Q26" s="320"/>
      <c r="R26" s="321"/>
      <c r="S26" s="360" t="s">
        <v>1330</v>
      </c>
      <c r="T26" s="353"/>
      <c r="U26" s="353"/>
      <c r="V26" s="353"/>
      <c r="W26" s="353"/>
      <c r="X26" s="354"/>
      <c r="Y26" s="142"/>
      <c r="Z26" s="142"/>
      <c r="AA26" s="142"/>
    </row>
    <row r="27" spans="2:27" ht="16.5" customHeight="1">
      <c r="B27" s="322"/>
      <c r="C27" s="323"/>
      <c r="D27" s="323"/>
      <c r="E27" s="323"/>
      <c r="F27" s="324"/>
      <c r="G27" s="364" t="s">
        <v>1335</v>
      </c>
      <c r="H27" s="365"/>
      <c r="I27" s="361" t="s">
        <v>1345</v>
      </c>
      <c r="J27" s="362"/>
      <c r="K27" s="362"/>
      <c r="L27" s="363"/>
      <c r="M27" s="142"/>
      <c r="N27" s="322"/>
      <c r="O27" s="323"/>
      <c r="P27" s="323"/>
      <c r="Q27" s="323"/>
      <c r="R27" s="324"/>
      <c r="S27" s="364" t="s">
        <v>1335</v>
      </c>
      <c r="T27" s="365"/>
      <c r="U27" s="361" t="s">
        <v>1334</v>
      </c>
      <c r="V27" s="362"/>
      <c r="W27" s="362"/>
      <c r="X27" s="363"/>
      <c r="Y27" s="142"/>
      <c r="Z27" s="142"/>
      <c r="AA27" s="142"/>
    </row>
    <row r="28" spans="2:27" ht="16.5" customHeight="1">
      <c r="B28" s="322"/>
      <c r="C28" s="323"/>
      <c r="D28" s="323"/>
      <c r="E28" s="323"/>
      <c r="F28" s="324"/>
      <c r="G28" s="366" t="s">
        <v>1336</v>
      </c>
      <c r="H28" s="367"/>
      <c r="I28" s="307" t="s">
        <v>1346</v>
      </c>
      <c r="J28" s="308"/>
      <c r="K28" s="308"/>
      <c r="L28" s="309"/>
      <c r="M28" s="142"/>
      <c r="N28" s="322"/>
      <c r="O28" s="323"/>
      <c r="P28" s="323"/>
      <c r="Q28" s="323"/>
      <c r="R28" s="324"/>
      <c r="S28" s="366" t="s">
        <v>1336</v>
      </c>
      <c r="T28" s="367"/>
      <c r="U28" s="307" t="s">
        <v>1669</v>
      </c>
      <c r="V28" s="308"/>
      <c r="W28" s="308"/>
      <c r="X28" s="309"/>
      <c r="Y28" s="142"/>
      <c r="Z28" s="142"/>
      <c r="AA28" s="142"/>
    </row>
    <row r="29" spans="2:27" ht="16.5" customHeight="1">
      <c r="B29" s="322"/>
      <c r="C29" s="323"/>
      <c r="D29" s="323"/>
      <c r="E29" s="323"/>
      <c r="F29" s="324"/>
      <c r="G29" s="286" t="s">
        <v>1337</v>
      </c>
      <c r="H29" s="287"/>
      <c r="I29" s="307" t="s">
        <v>1362</v>
      </c>
      <c r="J29" s="308"/>
      <c r="K29" s="308"/>
      <c r="L29" s="309"/>
      <c r="M29" s="142"/>
      <c r="N29" s="322"/>
      <c r="O29" s="323"/>
      <c r="P29" s="323"/>
      <c r="Q29" s="323"/>
      <c r="R29" s="324"/>
      <c r="S29" s="286" t="s">
        <v>1337</v>
      </c>
      <c r="T29" s="287"/>
      <c r="U29" s="307" t="s">
        <v>1363</v>
      </c>
      <c r="V29" s="308"/>
      <c r="W29" s="308"/>
      <c r="X29" s="309"/>
      <c r="Y29" s="142"/>
      <c r="Z29" s="142"/>
      <c r="AA29" s="142"/>
    </row>
    <row r="30" spans="2:27" ht="16.5" customHeight="1" thickBot="1">
      <c r="B30" s="325"/>
      <c r="C30" s="326"/>
      <c r="D30" s="326"/>
      <c r="E30" s="326"/>
      <c r="F30" s="327"/>
      <c r="G30" s="310"/>
      <c r="H30" s="311"/>
      <c r="I30" s="307" t="s">
        <v>1695</v>
      </c>
      <c r="J30" s="308"/>
      <c r="K30" s="308"/>
      <c r="L30" s="309"/>
      <c r="M30" s="142"/>
      <c r="N30" s="325"/>
      <c r="O30" s="326"/>
      <c r="P30" s="326"/>
      <c r="Q30" s="326"/>
      <c r="R30" s="327"/>
      <c r="S30" s="310"/>
      <c r="T30" s="311"/>
      <c r="U30" s="307" t="s">
        <v>1696</v>
      </c>
      <c r="V30" s="308"/>
      <c r="W30" s="308"/>
      <c r="X30" s="309"/>
      <c r="Y30" s="142"/>
      <c r="Z30" s="142"/>
      <c r="AA30" s="142"/>
    </row>
    <row r="31" spans="2:27" ht="16.5" customHeight="1">
      <c r="B31" s="368"/>
      <c r="C31" s="369"/>
      <c r="D31" s="369"/>
      <c r="E31" s="369"/>
      <c r="F31" s="370"/>
      <c r="G31" s="286" t="s">
        <v>1338</v>
      </c>
      <c r="H31" s="287"/>
      <c r="I31" s="288" t="s">
        <v>1347</v>
      </c>
      <c r="J31" s="289"/>
      <c r="K31" s="289"/>
      <c r="L31" s="290"/>
      <c r="M31" s="142"/>
      <c r="N31" s="368"/>
      <c r="O31" s="369"/>
      <c r="P31" s="369"/>
      <c r="Q31" s="369"/>
      <c r="R31" s="370"/>
      <c r="S31" s="286" t="s">
        <v>1338</v>
      </c>
      <c r="T31" s="287"/>
      <c r="U31" s="288" t="s">
        <v>1339</v>
      </c>
      <c r="V31" s="289"/>
      <c r="W31" s="289"/>
      <c r="X31" s="290"/>
      <c r="Y31" s="142"/>
      <c r="Z31" s="142"/>
      <c r="AA31" s="142"/>
    </row>
    <row r="32" spans="2:27" ht="16.5" customHeight="1">
      <c r="B32" s="371"/>
      <c r="C32" s="372"/>
      <c r="D32" s="372"/>
      <c r="E32" s="372"/>
      <c r="F32" s="373"/>
      <c r="G32" s="284" t="s">
        <v>1344</v>
      </c>
      <c r="H32" s="285"/>
      <c r="I32" s="288" t="s">
        <v>1348</v>
      </c>
      <c r="J32" s="289"/>
      <c r="K32" s="289"/>
      <c r="L32" s="290"/>
      <c r="M32" s="142"/>
      <c r="N32" s="371"/>
      <c r="O32" s="372"/>
      <c r="P32" s="372"/>
      <c r="Q32" s="372"/>
      <c r="R32" s="373"/>
      <c r="S32" s="284" t="s">
        <v>1343</v>
      </c>
      <c r="T32" s="285"/>
      <c r="U32" s="288" t="s">
        <v>1340</v>
      </c>
      <c r="V32" s="289"/>
      <c r="W32" s="289"/>
      <c r="X32" s="290"/>
      <c r="Y32" s="142"/>
      <c r="Z32" s="142"/>
      <c r="AA32" s="142"/>
    </row>
    <row r="33" spans="2:27" ht="16.5" customHeight="1">
      <c r="B33" s="371"/>
      <c r="C33" s="372"/>
      <c r="D33" s="372"/>
      <c r="E33" s="372"/>
      <c r="F33" s="373"/>
      <c r="G33" s="284"/>
      <c r="H33" s="285"/>
      <c r="I33" s="288" t="s">
        <v>1349</v>
      </c>
      <c r="J33" s="289"/>
      <c r="K33" s="289"/>
      <c r="L33" s="290"/>
      <c r="M33" s="142"/>
      <c r="N33" s="371"/>
      <c r="O33" s="372"/>
      <c r="P33" s="372"/>
      <c r="Q33" s="372"/>
      <c r="R33" s="373"/>
      <c r="S33" s="284"/>
      <c r="T33" s="285"/>
      <c r="U33" s="288" t="s">
        <v>1341</v>
      </c>
      <c r="V33" s="289"/>
      <c r="W33" s="289"/>
      <c r="X33" s="290"/>
      <c r="Y33" s="142"/>
      <c r="Z33" s="142"/>
      <c r="AA33" s="142"/>
    </row>
    <row r="34" spans="2:27" ht="27" customHeight="1">
      <c r="B34" s="371"/>
      <c r="C34" s="372"/>
      <c r="D34" s="372"/>
      <c r="E34" s="372"/>
      <c r="F34" s="373"/>
      <c r="G34" s="284"/>
      <c r="H34" s="285"/>
      <c r="I34" s="226" t="s">
        <v>1350</v>
      </c>
      <c r="J34" s="227"/>
      <c r="K34" s="227"/>
      <c r="L34" s="228"/>
      <c r="M34" s="142"/>
      <c r="N34" s="371"/>
      <c r="O34" s="372"/>
      <c r="P34" s="372"/>
      <c r="Q34" s="372"/>
      <c r="R34" s="373"/>
      <c r="S34" s="284"/>
      <c r="T34" s="285"/>
      <c r="U34" s="307" t="s">
        <v>1342</v>
      </c>
      <c r="V34" s="308"/>
      <c r="W34" s="308"/>
      <c r="X34" s="309"/>
      <c r="Y34" s="142"/>
      <c r="Z34" s="142"/>
      <c r="AA34" s="142"/>
    </row>
    <row r="35" spans="2:27">
      <c r="B35" s="371"/>
      <c r="C35" s="372"/>
      <c r="D35" s="372"/>
      <c r="E35" s="372"/>
      <c r="F35" s="373"/>
      <c r="G35" s="286" t="s">
        <v>1565</v>
      </c>
      <c r="H35" s="287"/>
      <c r="I35" s="299" t="s">
        <v>1567</v>
      </c>
      <c r="J35" s="300"/>
      <c r="K35" s="300"/>
      <c r="L35" s="301"/>
      <c r="M35" s="142"/>
      <c r="N35" s="371"/>
      <c r="O35" s="372"/>
      <c r="P35" s="372"/>
      <c r="Q35" s="372"/>
      <c r="R35" s="373"/>
      <c r="S35" s="286" t="s">
        <v>1565</v>
      </c>
      <c r="T35" s="287"/>
      <c r="U35" s="299" t="s">
        <v>1567</v>
      </c>
      <c r="V35" s="300"/>
      <c r="W35" s="300"/>
      <c r="X35" s="301"/>
      <c r="Y35" s="142"/>
      <c r="Z35" s="142"/>
      <c r="AA35" s="142"/>
    </row>
    <row r="36" spans="2:27" ht="13.5" customHeight="1" thickBot="1">
      <c r="B36" s="374"/>
      <c r="C36" s="375"/>
      <c r="D36" s="375"/>
      <c r="E36" s="375"/>
      <c r="F36" s="376"/>
      <c r="G36" s="305" t="s">
        <v>1566</v>
      </c>
      <c r="H36" s="306"/>
      <c r="I36" s="302"/>
      <c r="J36" s="303"/>
      <c r="K36" s="303"/>
      <c r="L36" s="304"/>
      <c r="M36" s="142"/>
      <c r="N36" s="374"/>
      <c r="O36" s="375"/>
      <c r="P36" s="375"/>
      <c r="Q36" s="375"/>
      <c r="R36" s="376"/>
      <c r="S36" s="305" t="s">
        <v>1568</v>
      </c>
      <c r="T36" s="306"/>
      <c r="U36" s="302"/>
      <c r="V36" s="303"/>
      <c r="W36" s="303"/>
      <c r="X36" s="304"/>
      <c r="Y36" s="142"/>
      <c r="Z36" s="142"/>
      <c r="AA36" s="142"/>
    </row>
    <row r="37" spans="2:27" ht="9" customHeight="1" thickBot="1">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row>
    <row r="38" spans="2:27" ht="19.5" customHeight="1" thickBot="1">
      <c r="B38" s="296" t="s">
        <v>1597</v>
      </c>
      <c r="C38" s="297"/>
      <c r="D38" s="297"/>
      <c r="E38" s="297"/>
      <c r="F38" s="297"/>
      <c r="G38" s="297"/>
      <c r="H38" s="297"/>
      <c r="I38" s="297"/>
      <c r="J38" s="297"/>
      <c r="K38" s="297"/>
      <c r="L38" s="298"/>
      <c r="M38" s="142"/>
      <c r="N38" s="296" t="s">
        <v>1602</v>
      </c>
      <c r="O38" s="297"/>
      <c r="P38" s="297"/>
      <c r="Q38" s="297"/>
      <c r="R38" s="297"/>
      <c r="S38" s="297"/>
      <c r="T38" s="297"/>
      <c r="U38" s="297"/>
      <c r="V38" s="297"/>
      <c r="W38" s="297"/>
      <c r="X38" s="298"/>
      <c r="Y38" s="142"/>
      <c r="Z38" s="142"/>
      <c r="AA38" s="142"/>
    </row>
    <row r="39" spans="2:27" ht="312" customHeight="1">
      <c r="B39" s="291" t="s">
        <v>1631</v>
      </c>
      <c r="C39" s="292"/>
      <c r="D39" s="293"/>
      <c r="E39" s="294" t="s">
        <v>1693</v>
      </c>
      <c r="F39" s="294"/>
      <c r="G39" s="294"/>
      <c r="H39" s="294"/>
      <c r="I39" s="294"/>
      <c r="J39" s="294"/>
      <c r="K39" s="294"/>
      <c r="L39" s="295"/>
      <c r="M39" s="142"/>
      <c r="N39" s="291" t="s">
        <v>1603</v>
      </c>
      <c r="O39" s="292"/>
      <c r="P39" s="293"/>
      <c r="Q39" s="294" t="s">
        <v>1694</v>
      </c>
      <c r="R39" s="294"/>
      <c r="S39" s="294"/>
      <c r="T39" s="294"/>
      <c r="U39" s="294"/>
      <c r="V39" s="294"/>
      <c r="W39" s="294"/>
      <c r="X39" s="295"/>
      <c r="Y39" s="142"/>
      <c r="Z39" s="142"/>
      <c r="AA39" s="142"/>
    </row>
    <row r="40" spans="2:27" ht="68.25" customHeight="1">
      <c r="B40" s="274" t="s">
        <v>1598</v>
      </c>
      <c r="C40" s="275"/>
      <c r="D40" s="276"/>
      <c r="E40" s="277" t="s">
        <v>1600</v>
      </c>
      <c r="F40" s="277"/>
      <c r="G40" s="277"/>
      <c r="H40" s="277"/>
      <c r="I40" s="277"/>
      <c r="J40" s="277"/>
      <c r="K40" s="277"/>
      <c r="L40" s="278"/>
      <c r="N40" s="274" t="s">
        <v>1604</v>
      </c>
      <c r="O40" s="275"/>
      <c r="P40" s="276"/>
      <c r="Q40" s="277" t="s">
        <v>1607</v>
      </c>
      <c r="R40" s="277"/>
      <c r="S40" s="277"/>
      <c r="T40" s="277"/>
      <c r="U40" s="277"/>
      <c r="V40" s="277"/>
      <c r="W40" s="277"/>
      <c r="X40" s="278"/>
      <c r="Y40" s="142"/>
      <c r="Z40" s="142"/>
      <c r="AA40" s="142"/>
    </row>
    <row r="41" spans="2:27" ht="301.5" customHeight="1">
      <c r="B41" s="274" t="s">
        <v>1634</v>
      </c>
      <c r="C41" s="275"/>
      <c r="D41" s="276"/>
      <c r="E41" s="277" t="s">
        <v>1608</v>
      </c>
      <c r="F41" s="277"/>
      <c r="G41" s="277"/>
      <c r="H41" s="277"/>
      <c r="I41" s="277"/>
      <c r="J41" s="277"/>
      <c r="K41" s="277"/>
      <c r="L41" s="278"/>
      <c r="N41" s="274" t="s">
        <v>1605</v>
      </c>
      <c r="O41" s="275"/>
      <c r="P41" s="276"/>
      <c r="Q41" s="277" t="s">
        <v>1609</v>
      </c>
      <c r="R41" s="277"/>
      <c r="S41" s="277"/>
      <c r="T41" s="277"/>
      <c r="U41" s="277"/>
      <c r="V41" s="277"/>
      <c r="W41" s="277"/>
      <c r="X41" s="278"/>
    </row>
    <row r="42" spans="2:27" ht="109.5" customHeight="1" thickBot="1">
      <c r="B42" s="279" t="s">
        <v>1599</v>
      </c>
      <c r="C42" s="280"/>
      <c r="D42" s="281"/>
      <c r="E42" s="282" t="s">
        <v>1601</v>
      </c>
      <c r="F42" s="282"/>
      <c r="G42" s="282"/>
      <c r="H42" s="282"/>
      <c r="I42" s="282"/>
      <c r="J42" s="282"/>
      <c r="K42" s="282"/>
      <c r="L42" s="283"/>
      <c r="N42" s="279" t="s">
        <v>1606</v>
      </c>
      <c r="O42" s="280"/>
      <c r="P42" s="281"/>
      <c r="Q42" s="282" t="s">
        <v>1610</v>
      </c>
      <c r="R42" s="282"/>
      <c r="S42" s="282"/>
      <c r="T42" s="282"/>
      <c r="U42" s="282"/>
      <c r="V42" s="282"/>
      <c r="W42" s="282"/>
      <c r="X42" s="283"/>
    </row>
  </sheetData>
  <sheetProtection sheet="1" selectLockedCells="1" selectUnlockedCells="1"/>
  <mergeCells count="113">
    <mergeCell ref="N31:R36"/>
    <mergeCell ref="B31:F36"/>
    <mergeCell ref="B20:F20"/>
    <mergeCell ref="N21:R22"/>
    <mergeCell ref="B21:F21"/>
    <mergeCell ref="N23:R25"/>
    <mergeCell ref="B23:F25"/>
    <mergeCell ref="I29:L29"/>
    <mergeCell ref="G31:H31"/>
    <mergeCell ref="I31:L31"/>
    <mergeCell ref="I32:L32"/>
    <mergeCell ref="G36:H36"/>
    <mergeCell ref="I35:L36"/>
    <mergeCell ref="H21:L21"/>
    <mergeCell ref="G20:L20"/>
    <mergeCell ref="U31:X31"/>
    <mergeCell ref="S31:T31"/>
    <mergeCell ref="U32:X32"/>
    <mergeCell ref="U33:X33"/>
    <mergeCell ref="U29:X29"/>
    <mergeCell ref="T22:X22"/>
    <mergeCell ref="G24:L24"/>
    <mergeCell ref="S24:X24"/>
    <mergeCell ref="G23:L23"/>
    <mergeCell ref="S23:X23"/>
    <mergeCell ref="H22:L22"/>
    <mergeCell ref="S29:T30"/>
    <mergeCell ref="U30:X30"/>
    <mergeCell ref="S26:X26"/>
    <mergeCell ref="G26:L26"/>
    <mergeCell ref="U27:X27"/>
    <mergeCell ref="U28:X28"/>
    <mergeCell ref="S27:T27"/>
    <mergeCell ref="S28:T28"/>
    <mergeCell ref="G27:H27"/>
    <mergeCell ref="I27:L27"/>
    <mergeCell ref="G28:H28"/>
    <mergeCell ref="I28:L28"/>
    <mergeCell ref="N26:R30"/>
    <mergeCell ref="S20:X20"/>
    <mergeCell ref="T21:X21"/>
    <mergeCell ref="N16:R16"/>
    <mergeCell ref="S16:X16"/>
    <mergeCell ref="N17:R19"/>
    <mergeCell ref="S17:S19"/>
    <mergeCell ref="T17:X19"/>
    <mergeCell ref="N20:R20"/>
    <mergeCell ref="N11:R11"/>
    <mergeCell ref="S11:X11"/>
    <mergeCell ref="N12:R15"/>
    <mergeCell ref="S12:S13"/>
    <mergeCell ref="T12:X13"/>
    <mergeCell ref="S14:S15"/>
    <mergeCell ref="T14:X15"/>
    <mergeCell ref="B7:F7"/>
    <mergeCell ref="N1:X1"/>
    <mergeCell ref="N6:R6"/>
    <mergeCell ref="S6:X6"/>
    <mergeCell ref="B1:L1"/>
    <mergeCell ref="B6:F6"/>
    <mergeCell ref="G6:L6"/>
    <mergeCell ref="G7:L7"/>
    <mergeCell ref="H8:L8"/>
    <mergeCell ref="N7:R7"/>
    <mergeCell ref="S7:X7"/>
    <mergeCell ref="N8:R10"/>
    <mergeCell ref="T8:X8"/>
    <mergeCell ref="S9:S10"/>
    <mergeCell ref="T9:X10"/>
    <mergeCell ref="E41:L41"/>
    <mergeCell ref="E42:L42"/>
    <mergeCell ref="G29:H30"/>
    <mergeCell ref="I30:L30"/>
    <mergeCell ref="H9:L10"/>
    <mergeCell ref="G9:G10"/>
    <mergeCell ref="B8:F10"/>
    <mergeCell ref="B26:F30"/>
    <mergeCell ref="B11:F11"/>
    <mergeCell ref="B12:F15"/>
    <mergeCell ref="B17:F19"/>
    <mergeCell ref="H12:L13"/>
    <mergeCell ref="G12:G13"/>
    <mergeCell ref="G14:G15"/>
    <mergeCell ref="H14:L15"/>
    <mergeCell ref="G11:L11"/>
    <mergeCell ref="B16:F16"/>
    <mergeCell ref="G16:L16"/>
    <mergeCell ref="H17:L19"/>
    <mergeCell ref="G17:G19"/>
    <mergeCell ref="N40:P40"/>
    <mergeCell ref="Q40:X40"/>
    <mergeCell ref="N41:P41"/>
    <mergeCell ref="Q41:X41"/>
    <mergeCell ref="N42:P42"/>
    <mergeCell ref="Q42:X42"/>
    <mergeCell ref="S32:T34"/>
    <mergeCell ref="G35:H35"/>
    <mergeCell ref="S35:T35"/>
    <mergeCell ref="I33:L33"/>
    <mergeCell ref="N39:P39"/>
    <mergeCell ref="Q39:X39"/>
    <mergeCell ref="B38:L38"/>
    <mergeCell ref="N38:X38"/>
    <mergeCell ref="B39:D39"/>
    <mergeCell ref="E39:L39"/>
    <mergeCell ref="U35:X36"/>
    <mergeCell ref="S36:T36"/>
    <mergeCell ref="U34:X34"/>
    <mergeCell ref="G32:H34"/>
    <mergeCell ref="B40:D40"/>
    <mergeCell ref="B41:D41"/>
    <mergeCell ref="B42:D42"/>
    <mergeCell ref="E40:L40"/>
  </mergeCells>
  <pageMargins left="0.25" right="0.25" top="0.75" bottom="0.75" header="0.3" footer="0.3"/>
  <pageSetup paperSize="9" scale="36" fitToHeight="0" orientation="portrait" r:id="rId1"/>
  <headerFooter>
    <oddFooter>&amp;L&amp;6T.PU.005 Supplier Self Assessment and Approval Form / V3.3 / T.Schneider / 14.03.2024&amp;C&amp;1#&amp;8&amp;KA6A6A6restricted&amp;R&amp;6Explanation</odd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showGridLines="0" zoomScale="120" zoomScaleNormal="120" zoomScalePageLayoutView="110" workbookViewId="0">
      <selection activeCell="A5" sqref="A5:K5"/>
    </sheetView>
  </sheetViews>
  <sheetFormatPr baseColWidth="10" defaultColWidth="11.42578125" defaultRowHeight="12.75"/>
  <cols>
    <col min="1" max="1" width="15.140625" customWidth="1"/>
    <col min="2" max="2" width="11.42578125" customWidth="1"/>
    <col min="3" max="3" width="8" customWidth="1"/>
    <col min="4" max="5" width="10.140625" customWidth="1"/>
    <col min="6" max="6" width="1.5703125" customWidth="1"/>
    <col min="7" max="7" width="9.140625" customWidth="1"/>
    <col min="8" max="8" width="10.5703125" bestFit="1" customWidth="1"/>
    <col min="9" max="9" width="10.85546875" bestFit="1" customWidth="1"/>
    <col min="10" max="10" width="9.140625" customWidth="1"/>
    <col min="11" max="11" width="19.42578125" customWidth="1"/>
  </cols>
  <sheetData>
    <row r="1" spans="1:11" ht="42.75" customHeight="1" thickBot="1">
      <c r="A1" s="487" t="str">
        <f>HLOOKUP(Language,Translation,2)</f>
        <v>Supplier Self-Assessment</v>
      </c>
      <c r="B1" s="488"/>
      <c r="C1" s="488"/>
      <c r="D1" s="488"/>
      <c r="E1" s="488"/>
      <c r="F1" s="488"/>
      <c r="G1" s="488"/>
      <c r="H1" s="488"/>
      <c r="I1" s="488"/>
      <c r="J1" s="488"/>
      <c r="K1" s="52"/>
    </row>
    <row r="2" spans="1:11" ht="8.1" customHeight="1" thickBot="1">
      <c r="A2" s="53"/>
      <c r="B2" s="53"/>
      <c r="C2" s="53"/>
      <c r="D2" s="53"/>
      <c r="E2" s="53"/>
      <c r="F2" s="53"/>
      <c r="G2" s="53"/>
      <c r="H2" s="53"/>
      <c r="I2" s="53"/>
      <c r="J2" s="53"/>
      <c r="K2" s="53"/>
    </row>
    <row r="3" spans="1:11" ht="15.75" customHeight="1" thickBot="1">
      <c r="A3" s="43" t="s">
        <v>1</v>
      </c>
      <c r="B3" s="493" t="str">
        <f>HLOOKUP(Language,Translation,4)</f>
        <v>Company Profile</v>
      </c>
      <c r="C3" s="493"/>
      <c r="D3" s="493"/>
      <c r="E3" s="493"/>
      <c r="F3" s="493"/>
      <c r="G3" s="493"/>
      <c r="H3" s="493"/>
      <c r="I3" s="493"/>
      <c r="J3" s="493"/>
      <c r="K3" s="494"/>
    </row>
    <row r="4" spans="1:11" ht="13.5" customHeight="1">
      <c r="A4" s="495" t="str">
        <f>HLOOKUP(Language,Translation,5)&amp;" "&amp;HLOOKUP(Language,Translation,18)</f>
        <v>Company name (including legal form):</v>
      </c>
      <c r="B4" s="496"/>
      <c r="C4" s="496"/>
      <c r="D4" s="496"/>
      <c r="E4" s="496"/>
      <c r="F4" s="496"/>
      <c r="G4" s="496"/>
      <c r="H4" s="496"/>
      <c r="I4" s="496"/>
      <c r="J4" s="496"/>
      <c r="K4" s="497"/>
    </row>
    <row r="5" spans="1:11" ht="13.5" customHeight="1">
      <c r="A5" s="400"/>
      <c r="B5" s="401"/>
      <c r="C5" s="401"/>
      <c r="D5" s="401"/>
      <c r="E5" s="401"/>
      <c r="F5" s="401"/>
      <c r="G5" s="401"/>
      <c r="H5" s="401"/>
      <c r="I5" s="401"/>
      <c r="J5" s="401"/>
      <c r="K5" s="402"/>
    </row>
    <row r="6" spans="1:11" ht="13.5" customHeight="1">
      <c r="A6" s="399" t="str">
        <f>HLOOKUP(Language,Translation,19)</f>
        <v>Name of Company owner / Major owner:</v>
      </c>
      <c r="B6" s="397"/>
      <c r="C6" s="397"/>
      <c r="D6" s="397"/>
      <c r="E6" s="397"/>
      <c r="F6" s="397"/>
      <c r="G6" s="397"/>
      <c r="H6" s="397"/>
      <c r="I6" s="397"/>
      <c r="J6" s="397"/>
      <c r="K6" s="398"/>
    </row>
    <row r="7" spans="1:11" ht="13.5" customHeight="1">
      <c r="A7" s="400"/>
      <c r="B7" s="401"/>
      <c r="C7" s="401"/>
      <c r="D7" s="401"/>
      <c r="E7" s="401"/>
      <c r="F7" s="401"/>
      <c r="G7" s="401"/>
      <c r="H7" s="401"/>
      <c r="I7" s="401"/>
      <c r="J7" s="401"/>
      <c r="K7" s="402"/>
    </row>
    <row r="8" spans="1:11">
      <c r="A8" s="408" t="str">
        <f>HLOOKUP(Language,Translation,6)</f>
        <v>Facility Address:</v>
      </c>
      <c r="B8" s="406"/>
      <c r="C8" s="406"/>
      <c r="D8" s="406"/>
      <c r="E8" s="407"/>
      <c r="F8" s="490" t="str">
        <f>HLOOKUP(Language,Translation,17)&amp;" "&amp;HLOOKUP(Language,Translation,18)</f>
        <v>Former / historical company name (including legal form):</v>
      </c>
      <c r="G8" s="491"/>
      <c r="H8" s="491"/>
      <c r="I8" s="491"/>
      <c r="J8" s="491"/>
      <c r="K8" s="492"/>
    </row>
    <row r="9" spans="1:11" ht="13.5" customHeight="1">
      <c r="A9" s="400"/>
      <c r="B9" s="401"/>
      <c r="C9" s="401"/>
      <c r="D9" s="401"/>
      <c r="E9" s="403"/>
      <c r="F9" s="411"/>
      <c r="G9" s="401"/>
      <c r="H9" s="401"/>
      <c r="I9" s="401"/>
      <c r="J9" s="401"/>
      <c r="K9" s="402"/>
    </row>
    <row r="10" spans="1:11">
      <c r="A10" s="408" t="str">
        <f>HLOOKUP(Language,Translation,7)</f>
        <v>Post code, City, State:</v>
      </c>
      <c r="B10" s="406"/>
      <c r="C10" s="406"/>
      <c r="D10" s="406"/>
      <c r="E10" s="407"/>
      <c r="F10" s="409" t="str">
        <f>HLOOKUP(Language,Translation,196)&amp;":"</f>
        <v>Contact Person:</v>
      </c>
      <c r="G10" s="406"/>
      <c r="H10" s="406"/>
      <c r="I10" s="406"/>
      <c r="J10" s="406"/>
      <c r="K10" s="410"/>
    </row>
    <row r="11" spans="1:11" ht="13.5" customHeight="1">
      <c r="A11" s="400"/>
      <c r="B11" s="401"/>
      <c r="C11" s="401"/>
      <c r="D11" s="401"/>
      <c r="E11" s="403"/>
      <c r="F11" s="411"/>
      <c r="G11" s="401"/>
      <c r="H11" s="401"/>
      <c r="I11" s="401"/>
      <c r="J11" s="401"/>
      <c r="K11" s="402"/>
    </row>
    <row r="12" spans="1:11" ht="13.5" customHeight="1">
      <c r="A12" s="408" t="str">
        <f>HLOOKUP(Language,Translation,8)</f>
        <v>Country:</v>
      </c>
      <c r="B12" s="406"/>
      <c r="C12" s="406"/>
      <c r="D12" s="406"/>
      <c r="E12" s="407"/>
      <c r="F12" s="409" t="str">
        <f>HLOOKUP(Language,Translation,21)</f>
        <v>Position:</v>
      </c>
      <c r="G12" s="406"/>
      <c r="H12" s="406"/>
      <c r="I12" s="406"/>
      <c r="J12" s="406"/>
      <c r="K12" s="410"/>
    </row>
    <row r="13" spans="1:11" ht="13.5" customHeight="1">
      <c r="A13" s="400" t="s">
        <v>118</v>
      </c>
      <c r="B13" s="401"/>
      <c r="C13" s="401"/>
      <c r="D13" s="401"/>
      <c r="E13" s="403"/>
      <c r="F13" s="411"/>
      <c r="G13" s="401"/>
      <c r="H13" s="401"/>
      <c r="I13" s="401"/>
      <c r="J13" s="401"/>
      <c r="K13" s="402"/>
    </row>
    <row r="14" spans="1:11">
      <c r="A14" s="399" t="str">
        <f>HLOOKUP(Language,Translation,9)</f>
        <v>Website (URL):</v>
      </c>
      <c r="B14" s="406"/>
      <c r="C14" s="406"/>
      <c r="D14" s="406"/>
      <c r="E14" s="407"/>
      <c r="F14" s="409" t="str">
        <f>HLOOKUP(Language,Translation,269)</f>
        <v>Language of communication:</v>
      </c>
      <c r="G14" s="406"/>
      <c r="H14" s="406"/>
      <c r="I14" s="406"/>
      <c r="J14" s="406"/>
      <c r="K14" s="410"/>
    </row>
    <row r="15" spans="1:11" ht="13.5" customHeight="1">
      <c r="A15" s="400"/>
      <c r="B15" s="401"/>
      <c r="C15" s="401"/>
      <c r="D15" s="401"/>
      <c r="E15" s="403"/>
      <c r="F15" s="411"/>
      <c r="G15" s="401"/>
      <c r="H15" s="401"/>
      <c r="I15" s="401"/>
      <c r="J15" s="401"/>
      <c r="K15" s="402"/>
    </row>
    <row r="16" spans="1:11">
      <c r="A16" s="399" t="str">
        <f>HLOOKUP(Language,Translation,268)</f>
        <v>Tax identification number:</v>
      </c>
      <c r="B16" s="406"/>
      <c r="C16" s="406"/>
      <c r="D16" s="406"/>
      <c r="E16" s="407"/>
      <c r="F16" s="409" t="str">
        <f>HLOOKUP(Language,Translation,14)</f>
        <v>Telephone-No.:</v>
      </c>
      <c r="G16" s="406"/>
      <c r="H16" s="406"/>
      <c r="I16" s="406"/>
      <c r="J16" s="406"/>
      <c r="K16" s="410"/>
    </row>
    <row r="17" spans="1:11" ht="13.5" customHeight="1">
      <c r="A17" s="386"/>
      <c r="B17" s="387"/>
      <c r="C17" s="387"/>
      <c r="D17" s="387"/>
      <c r="E17" s="388"/>
      <c r="F17" s="404"/>
      <c r="G17" s="387"/>
      <c r="H17" s="387"/>
      <c r="I17" s="387"/>
      <c r="J17" s="387"/>
      <c r="K17" s="405"/>
    </row>
    <row r="18" spans="1:11">
      <c r="A18" s="408" t="str">
        <f>HLOOKUP(Language,Translation,10)</f>
        <v>VAT-/ USCC-/ GSTIN- Number:</v>
      </c>
      <c r="B18" s="406"/>
      <c r="C18" s="406"/>
      <c r="D18" s="406"/>
      <c r="E18" s="407"/>
      <c r="F18" s="409" t="str">
        <f>HLOOKUP(Language,Translation,15)</f>
        <v>Fax-No.:</v>
      </c>
      <c r="G18" s="406"/>
      <c r="H18" s="406"/>
      <c r="I18" s="406"/>
      <c r="J18" s="406"/>
      <c r="K18" s="410"/>
    </row>
    <row r="19" spans="1:11" ht="13.5" customHeight="1">
      <c r="A19" s="400"/>
      <c r="B19" s="401"/>
      <c r="C19" s="401"/>
      <c r="D19" s="401"/>
      <c r="E19" s="403"/>
      <c r="F19" s="404"/>
      <c r="G19" s="387"/>
      <c r="H19" s="387"/>
      <c r="I19" s="387"/>
      <c r="J19" s="387"/>
      <c r="K19" s="405"/>
    </row>
    <row r="20" spans="1:11" ht="13.5" customHeight="1">
      <c r="A20" s="395" t="str">
        <f>HLOOKUP(Language,Translation,11)</f>
        <v>DUNS-Number:</v>
      </c>
      <c r="B20" s="396"/>
      <c r="C20" s="396"/>
      <c r="D20" s="396"/>
      <c r="E20" s="498"/>
      <c r="F20" s="499" t="str">
        <f>HLOOKUP(Language,Translation,16)</f>
        <v>E-mail address:</v>
      </c>
      <c r="G20" s="406"/>
      <c r="H20" s="406"/>
      <c r="I20" s="406"/>
      <c r="J20" s="406"/>
      <c r="K20" s="410"/>
    </row>
    <row r="21" spans="1:11" ht="13.5" customHeight="1">
      <c r="A21" s="386"/>
      <c r="B21" s="387"/>
      <c r="C21" s="387"/>
      <c r="D21" s="387"/>
      <c r="E21" s="388"/>
      <c r="F21" s="411"/>
      <c r="G21" s="401"/>
      <c r="H21" s="401"/>
      <c r="I21" s="401"/>
      <c r="J21" s="401"/>
      <c r="K21" s="402"/>
    </row>
    <row r="22" spans="1:11">
      <c r="A22" s="395" t="str">
        <f>HLOOKUP(Language,Translation,12)</f>
        <v>Commercial register number:</v>
      </c>
      <c r="B22" s="396"/>
      <c r="C22" s="396"/>
      <c r="D22" s="396"/>
      <c r="E22" s="397" t="str">
        <f>HLOOKUP(Language,Translation,249)</f>
        <v>(Please attach a current extract from the commercial register (PDF))</v>
      </c>
      <c r="F22" s="397"/>
      <c r="G22" s="397"/>
      <c r="H22" s="397"/>
      <c r="I22" s="397"/>
      <c r="J22" s="397"/>
      <c r="K22" s="398"/>
    </row>
    <row r="23" spans="1:11" ht="13.5" customHeight="1" thickBot="1">
      <c r="A23" s="392"/>
      <c r="B23" s="393"/>
      <c r="C23" s="393"/>
      <c r="D23" s="393"/>
      <c r="E23" s="393"/>
      <c r="F23" s="393"/>
      <c r="G23" s="393"/>
      <c r="H23" s="393"/>
      <c r="I23" s="393"/>
      <c r="J23" s="393"/>
      <c r="K23" s="394"/>
    </row>
    <row r="24" spans="1:11" ht="8.1" customHeight="1" thickBot="1">
      <c r="A24" s="54"/>
      <c r="B24" s="54"/>
      <c r="C24" s="54"/>
      <c r="D24" s="54"/>
      <c r="E24" s="54"/>
      <c r="F24" s="54"/>
      <c r="G24" s="54"/>
      <c r="H24" s="54"/>
      <c r="I24" s="54"/>
      <c r="J24" s="54"/>
      <c r="K24" s="54"/>
    </row>
    <row r="25" spans="1:11" ht="15.75" thickBot="1">
      <c r="A25" s="428" t="str">
        <f>HLOOKUP(Language,Translation,20)</f>
        <v>Contacts</v>
      </c>
      <c r="B25" s="429"/>
      <c r="C25" s="429"/>
      <c r="D25" s="429"/>
      <c r="E25" s="429"/>
      <c r="F25" s="429"/>
      <c r="G25" s="429"/>
      <c r="H25" s="429"/>
      <c r="I25" s="429"/>
      <c r="J25" s="429"/>
      <c r="K25" s="430"/>
    </row>
    <row r="26" spans="1:11" ht="15">
      <c r="A26" s="460" t="str">
        <f>HLOOKUP(Language,Translation,21)</f>
        <v>Position:</v>
      </c>
      <c r="B26" s="461"/>
      <c r="C26" s="461" t="str">
        <f>HLOOKUP(Language,Translation,22)&amp;":"</f>
        <v>Name:</v>
      </c>
      <c r="D26" s="461"/>
      <c r="E26" s="461"/>
      <c r="F26" s="461" t="str">
        <f>HLOOKUP(Language,Translation,16)</f>
        <v>E-mail address:</v>
      </c>
      <c r="G26" s="461"/>
      <c r="H26" s="461"/>
      <c r="I26" s="461"/>
      <c r="J26" s="461" t="str">
        <f>HLOOKUP(Language,Translation,14)</f>
        <v>Telephone-No.:</v>
      </c>
      <c r="K26" s="489"/>
    </row>
    <row r="27" spans="1:11" ht="18.75" customHeight="1">
      <c r="A27" s="420" t="str">
        <f>HLOOKUP(Language,Translation,25)</f>
        <v>Managing Director / CEO</v>
      </c>
      <c r="B27" s="421"/>
      <c r="C27" s="389"/>
      <c r="D27" s="389"/>
      <c r="E27" s="389"/>
      <c r="F27" s="389"/>
      <c r="G27" s="389"/>
      <c r="H27" s="389"/>
      <c r="I27" s="389"/>
      <c r="J27" s="390"/>
      <c r="K27" s="391"/>
    </row>
    <row r="28" spans="1:11" ht="18.75" customHeight="1">
      <c r="A28" s="420" t="str">
        <f>HLOOKUP(Language,Translation,26)</f>
        <v>Sales Manager</v>
      </c>
      <c r="B28" s="421"/>
      <c r="C28" s="389"/>
      <c r="D28" s="389"/>
      <c r="E28" s="389"/>
      <c r="F28" s="389"/>
      <c r="G28" s="389"/>
      <c r="H28" s="389"/>
      <c r="I28" s="389"/>
      <c r="J28" s="390"/>
      <c r="K28" s="391"/>
    </row>
    <row r="29" spans="1:11" ht="18.75" customHeight="1">
      <c r="A29" s="420" t="str">
        <f>HLOOKUP(Language,Translation,27)</f>
        <v>Quality Manager</v>
      </c>
      <c r="B29" s="421"/>
      <c r="C29" s="389"/>
      <c r="D29" s="389"/>
      <c r="E29" s="389"/>
      <c r="F29" s="389"/>
      <c r="G29" s="389"/>
      <c r="H29" s="389"/>
      <c r="I29" s="389"/>
      <c r="J29" s="390"/>
      <c r="K29" s="391"/>
    </row>
    <row r="30" spans="1:11" ht="18.75" customHeight="1">
      <c r="A30" s="420" t="str">
        <f>HLOOKUP(Language,Translation,28)</f>
        <v>Logistics Manager</v>
      </c>
      <c r="B30" s="421"/>
      <c r="C30" s="389"/>
      <c r="D30" s="389"/>
      <c r="E30" s="389"/>
      <c r="F30" s="389"/>
      <c r="G30" s="389"/>
      <c r="H30" s="389"/>
      <c r="I30" s="389"/>
      <c r="J30" s="390"/>
      <c r="K30" s="391"/>
    </row>
    <row r="31" spans="1:11" ht="18.75" customHeight="1">
      <c r="A31" s="420" t="str">
        <f>HLOOKUP(Language,Translation,250)</f>
        <v>Data Protection Officer (DPO)</v>
      </c>
      <c r="B31" s="421"/>
      <c r="C31" s="389"/>
      <c r="D31" s="389"/>
      <c r="E31" s="389"/>
      <c r="F31" s="389"/>
      <c r="G31" s="389"/>
      <c r="H31" s="389"/>
      <c r="I31" s="389"/>
      <c r="J31" s="390"/>
      <c r="K31" s="391"/>
    </row>
    <row r="32" spans="1:11" ht="26.25" customHeight="1">
      <c r="A32" s="422" t="str">
        <f>HLOOKUP(Language,Translation,251)</f>
        <v>Chief Information Security Officer (CISO)</v>
      </c>
      <c r="B32" s="470"/>
      <c r="C32" s="389"/>
      <c r="D32" s="389"/>
      <c r="E32" s="389"/>
      <c r="F32" s="389"/>
      <c r="G32" s="389"/>
      <c r="H32" s="389"/>
      <c r="I32" s="389"/>
      <c r="J32" s="390"/>
      <c r="K32" s="391"/>
    </row>
    <row r="33" spans="1:11" ht="18.75" customHeight="1">
      <c r="A33" s="420" t="str">
        <f>HLOOKUP(Language,Translation,252)</f>
        <v>IT-Security Manager (ISM)</v>
      </c>
      <c r="B33" s="421"/>
      <c r="C33" s="389"/>
      <c r="D33" s="389"/>
      <c r="E33" s="389"/>
      <c r="F33" s="389"/>
      <c r="G33" s="389"/>
      <c r="H33" s="389"/>
      <c r="I33" s="389"/>
      <c r="J33" s="390"/>
      <c r="K33" s="391"/>
    </row>
    <row r="34" spans="1:11" ht="51" customHeight="1">
      <c r="A34" s="422" t="str">
        <f>HLOOKUP(Language,Translation,29)</f>
        <v>PSCR / Product Safety and Conformity Representative</v>
      </c>
      <c r="B34" s="423"/>
      <c r="C34" s="389"/>
      <c r="D34" s="389"/>
      <c r="E34" s="389"/>
      <c r="F34" s="389"/>
      <c r="G34" s="389"/>
      <c r="H34" s="389"/>
      <c r="I34" s="389"/>
      <c r="J34" s="390"/>
      <c r="K34" s="391"/>
    </row>
    <row r="35" spans="1:11" ht="18.75" customHeight="1">
      <c r="A35" s="420" t="str">
        <f>HLOOKUP(Language,Translation,30)</f>
        <v>Environmental Manager</v>
      </c>
      <c r="B35" s="421"/>
      <c r="C35" s="389"/>
      <c r="D35" s="389"/>
      <c r="E35" s="389"/>
      <c r="F35" s="389"/>
      <c r="G35" s="389"/>
      <c r="H35" s="389"/>
      <c r="I35" s="389"/>
      <c r="J35" s="390"/>
      <c r="K35" s="391"/>
    </row>
    <row r="36" spans="1:11" ht="18.75" customHeight="1">
      <c r="A36" s="420" t="str">
        <f>HLOOKUP(Language,Translation,31)</f>
        <v>Sustainability - responsible</v>
      </c>
      <c r="B36" s="474"/>
      <c r="C36" s="437"/>
      <c r="D36" s="437"/>
      <c r="E36" s="437"/>
      <c r="F36" s="389"/>
      <c r="G36" s="389"/>
      <c r="H36" s="389"/>
      <c r="I36" s="389"/>
      <c r="J36" s="390"/>
      <c r="K36" s="391"/>
    </row>
    <row r="37" spans="1:11" ht="18.75" customHeight="1">
      <c r="A37" s="435" t="str">
        <f>HLOOKUP(Language,Translation,32)</f>
        <v>Safety - responsible</v>
      </c>
      <c r="B37" s="436"/>
      <c r="C37" s="437"/>
      <c r="D37" s="437"/>
      <c r="E37" s="437"/>
      <c r="F37" s="389"/>
      <c r="G37" s="389"/>
      <c r="H37" s="389"/>
      <c r="I37" s="389"/>
      <c r="J37" s="390"/>
      <c r="K37" s="391"/>
    </row>
    <row r="38" spans="1:11" ht="18.75" customHeight="1" thickBot="1">
      <c r="A38" s="444" t="str">
        <f>HLOOKUP(Language,Translation,139)</f>
        <v>Export control - responsible</v>
      </c>
      <c r="B38" s="445"/>
      <c r="C38" s="438"/>
      <c r="D38" s="438"/>
      <c r="E38" s="438"/>
      <c r="F38" s="439"/>
      <c r="G38" s="440"/>
      <c r="H38" s="440"/>
      <c r="I38" s="441"/>
      <c r="J38" s="442"/>
      <c r="K38" s="443"/>
    </row>
    <row r="39" spans="1:11" ht="8.1" customHeight="1" thickBot="1">
      <c r="A39" s="22"/>
      <c r="B39" s="22"/>
      <c r="C39" s="22"/>
      <c r="D39" s="22"/>
      <c r="E39" s="22"/>
    </row>
    <row r="40" spans="1:11" ht="31.5" customHeight="1" thickBot="1">
      <c r="A40" s="417" t="str">
        <f>HLOOKUP(Language,Translation,33)</f>
        <v>Company turnover / investments (Last 3 years)</v>
      </c>
      <c r="B40" s="418"/>
      <c r="C40" s="418"/>
      <c r="D40" s="418"/>
      <c r="E40" s="419"/>
      <c r="G40" s="414" t="str">
        <f>HLOOKUP(Language,Translation,34)</f>
        <v>Company employees in areas (Last 3 years)</v>
      </c>
      <c r="H40" s="415"/>
      <c r="I40" s="415"/>
      <c r="J40" s="415"/>
      <c r="K40" s="416"/>
    </row>
    <row r="41" spans="1:11" ht="15" customHeight="1">
      <c r="A41" s="55" t="str">
        <f>HLOOKUP(Language,Translation,35)</f>
        <v>Year</v>
      </c>
      <c r="B41" s="454" t="str">
        <f>HLOOKUP(Language,Translation,36)</f>
        <v>*Sales</v>
      </c>
      <c r="C41" s="455"/>
      <c r="D41" s="458" t="str">
        <f>HLOOKUP(Language,Translation,37)</f>
        <v>*Investments</v>
      </c>
      <c r="E41" s="459"/>
      <c r="F41" s="56"/>
      <c r="G41" s="57" t="str">
        <f>HLOOKUP(Language,Translation,35)</f>
        <v>Year</v>
      </c>
      <c r="H41" s="58" t="str">
        <f>HLOOKUP(Language,Translation,39)</f>
        <v>Manufacturing</v>
      </c>
      <c r="I41" s="59" t="str">
        <f>HLOOKUP(Language,Translation,40)</f>
        <v>Administration</v>
      </c>
      <c r="J41" s="59" t="str">
        <f>HLOOKUP(Language,Translation,41)</f>
        <v>Quality Dep.</v>
      </c>
      <c r="K41" s="60" t="str">
        <f>HLOOKUP(Language,Translation,42)</f>
        <v>Comments</v>
      </c>
    </row>
    <row r="42" spans="1:11" ht="18.75" customHeight="1">
      <c r="A42" s="121"/>
      <c r="B42" s="456"/>
      <c r="C42" s="457"/>
      <c r="D42" s="412"/>
      <c r="E42" s="413"/>
      <c r="G42" s="68"/>
      <c r="H42" s="69"/>
      <c r="I42" s="123"/>
      <c r="J42" s="123"/>
      <c r="K42" s="125"/>
    </row>
    <row r="43" spans="1:11" ht="18.75" customHeight="1">
      <c r="A43" s="121"/>
      <c r="B43" s="456"/>
      <c r="C43" s="457"/>
      <c r="D43" s="412"/>
      <c r="E43" s="413"/>
      <c r="G43" s="68"/>
      <c r="H43" s="69"/>
      <c r="I43" s="123"/>
      <c r="J43" s="123"/>
      <c r="K43" s="125"/>
    </row>
    <row r="44" spans="1:11" ht="18.75" customHeight="1" thickBot="1">
      <c r="A44" s="122"/>
      <c r="B44" s="431"/>
      <c r="C44" s="432"/>
      <c r="D44" s="433"/>
      <c r="E44" s="434"/>
      <c r="G44" s="70"/>
      <c r="H44" s="71"/>
      <c r="I44" s="124"/>
      <c r="J44" s="124"/>
      <c r="K44" s="126"/>
    </row>
    <row r="45" spans="1:11" ht="22.5" customHeight="1" thickBot="1">
      <c r="A45" s="61" t="str">
        <f>HLOOKUP(Language,Translation,38)</f>
        <v>*Please indicate Currency</v>
      </c>
      <c r="B45" s="22"/>
      <c r="C45" s="22"/>
      <c r="D45" s="22"/>
      <c r="E45" s="22"/>
    </row>
    <row r="46" spans="1:11" ht="15.75" thickBot="1">
      <c r="A46" s="428" t="str">
        <f>HLOOKUP(Language,Translation,43)</f>
        <v>Industries Served</v>
      </c>
      <c r="B46" s="429"/>
      <c r="C46" s="429"/>
      <c r="D46" s="429"/>
      <c r="E46" s="430"/>
      <c r="F46" s="62"/>
      <c r="G46" s="428" t="str">
        <f>HLOOKUP(Language,Translation,44)</f>
        <v>Major Customers</v>
      </c>
      <c r="H46" s="429"/>
      <c r="I46" s="429"/>
      <c r="J46" s="429"/>
      <c r="K46" s="430"/>
    </row>
    <row r="47" spans="1:11" ht="18.75" customHeight="1">
      <c r="A47" s="63" t="str">
        <f>HLOOKUP(Language,Translation,45)</f>
        <v xml:space="preserve">Automotive: </v>
      </c>
      <c r="B47" s="452"/>
      <c r="C47" s="453"/>
      <c r="D47" s="475" t="str">
        <f>HLOOKUP(Language,Translation,47)</f>
        <v>% of sales</v>
      </c>
      <c r="E47" s="476"/>
      <c r="F47" s="56"/>
      <c r="G47" s="448"/>
      <c r="H47" s="449"/>
      <c r="I47" s="449"/>
      <c r="J47" s="110"/>
      <c r="K47" s="64" t="str">
        <f>HLOOKUP(Language,Translation,47)</f>
        <v>% of sales</v>
      </c>
    </row>
    <row r="48" spans="1:11" ht="18.75" customHeight="1">
      <c r="A48" s="65" t="str">
        <f>HLOOKUP(Language,Translation,46)</f>
        <v xml:space="preserve">Trucking: </v>
      </c>
      <c r="B48" s="446"/>
      <c r="C48" s="447"/>
      <c r="D48" s="424" t="str">
        <f>HLOOKUP(Language,Translation,47)</f>
        <v>% of sales</v>
      </c>
      <c r="E48" s="425"/>
      <c r="G48" s="450"/>
      <c r="H48" s="451"/>
      <c r="I48" s="451"/>
      <c r="J48" s="127"/>
      <c r="K48" s="66" t="str">
        <f>HLOOKUP(Language,Translation,47)</f>
        <v>% of sales</v>
      </c>
    </row>
    <row r="49" spans="1:11" ht="18.75" customHeight="1">
      <c r="A49" s="109"/>
      <c r="B49" s="446"/>
      <c r="C49" s="447"/>
      <c r="D49" s="424" t="str">
        <f>HLOOKUP(Language,Translation,47)</f>
        <v>% of sales</v>
      </c>
      <c r="E49" s="425"/>
      <c r="G49" s="450"/>
      <c r="H49" s="451"/>
      <c r="I49" s="451"/>
      <c r="J49" s="127"/>
      <c r="K49" s="66" t="str">
        <f>HLOOKUP(Language,Translation,47)</f>
        <v>% of sales</v>
      </c>
    </row>
    <row r="50" spans="1:11" ht="18.75" customHeight="1" thickBot="1">
      <c r="A50" s="111"/>
      <c r="B50" s="471"/>
      <c r="C50" s="472"/>
      <c r="D50" s="426" t="str">
        <f>HLOOKUP(Language,Translation,47)</f>
        <v>% of sales</v>
      </c>
      <c r="E50" s="427"/>
      <c r="G50" s="473"/>
      <c r="H50" s="440"/>
      <c r="I50" s="440"/>
      <c r="J50" s="128"/>
      <c r="K50" s="67" t="str">
        <f>HLOOKUP(Language,Translation,47)</f>
        <v>% of sales</v>
      </c>
    </row>
    <row r="51" spans="1:11" ht="8.25" customHeight="1" thickBot="1"/>
    <row r="52" spans="1:11" ht="15.75" customHeight="1" thickBot="1">
      <c r="A52" s="428" t="str">
        <f>HLOOKUP(Language,Translation,48)</f>
        <v>Key/Core Competencies</v>
      </c>
      <c r="B52" s="429"/>
      <c r="C52" s="429"/>
      <c r="D52" s="429"/>
      <c r="E52" s="429"/>
      <c r="F52" s="429"/>
      <c r="G52" s="429"/>
      <c r="H52" s="429"/>
      <c r="I52" s="429"/>
      <c r="J52" s="429"/>
      <c r="K52" s="430"/>
    </row>
    <row r="53" spans="1:11" ht="14.25" customHeight="1">
      <c r="A53" s="460" t="str">
        <f>HLOOKUP(Language,Translation,49)</f>
        <v>Competence:</v>
      </c>
      <c r="B53" s="461"/>
      <c r="C53" s="462" t="str">
        <f>HLOOKUP(Language,Translation,50)</f>
        <v>Short Description</v>
      </c>
      <c r="D53" s="463"/>
      <c r="E53" s="463"/>
      <c r="F53" s="463"/>
      <c r="G53" s="463"/>
      <c r="H53" s="463"/>
      <c r="I53" s="463"/>
      <c r="J53" s="463"/>
      <c r="K53" s="464"/>
    </row>
    <row r="54" spans="1:11" ht="18.75" customHeight="1">
      <c r="A54" s="465"/>
      <c r="B54" s="466"/>
      <c r="C54" s="467"/>
      <c r="D54" s="468"/>
      <c r="E54" s="468"/>
      <c r="F54" s="468"/>
      <c r="G54" s="468"/>
      <c r="H54" s="468"/>
      <c r="I54" s="468"/>
      <c r="J54" s="468"/>
      <c r="K54" s="469"/>
    </row>
    <row r="55" spans="1:11" ht="18.75" customHeight="1">
      <c r="A55" s="465"/>
      <c r="B55" s="466"/>
      <c r="C55" s="467"/>
      <c r="D55" s="468"/>
      <c r="E55" s="468"/>
      <c r="F55" s="468"/>
      <c r="G55" s="468"/>
      <c r="H55" s="468"/>
      <c r="I55" s="468"/>
      <c r="J55" s="468"/>
      <c r="K55" s="469"/>
    </row>
    <row r="56" spans="1:11" ht="18.75" customHeight="1">
      <c r="A56" s="465"/>
      <c r="B56" s="466"/>
      <c r="C56" s="467"/>
      <c r="D56" s="468"/>
      <c r="E56" s="468"/>
      <c r="F56" s="468"/>
      <c r="G56" s="468"/>
      <c r="H56" s="468"/>
      <c r="I56" s="468"/>
      <c r="J56" s="468"/>
      <c r="K56" s="469"/>
    </row>
    <row r="57" spans="1:11" ht="18.75" customHeight="1">
      <c r="A57" s="465"/>
      <c r="B57" s="466"/>
      <c r="C57" s="467"/>
      <c r="D57" s="468"/>
      <c r="E57" s="468"/>
      <c r="F57" s="468"/>
      <c r="G57" s="468"/>
      <c r="H57" s="468"/>
      <c r="I57" s="468"/>
      <c r="J57" s="468"/>
      <c r="K57" s="469"/>
    </row>
    <row r="58" spans="1:11" ht="8.25" customHeight="1" thickBot="1"/>
    <row r="59" spans="1:11" ht="15.75" customHeight="1" thickBot="1">
      <c r="A59" s="428" t="str">
        <f>HLOOKUP(Language,Translation,51)</f>
        <v>EDI</v>
      </c>
      <c r="B59" s="429"/>
      <c r="C59" s="429"/>
      <c r="D59" s="429"/>
      <c r="E59" s="429"/>
      <c r="F59" s="429"/>
      <c r="G59" s="429"/>
      <c r="H59" s="429"/>
      <c r="I59" s="429"/>
      <c r="J59" s="429"/>
      <c r="K59" s="430"/>
    </row>
    <row r="60" spans="1:11" ht="18.75" customHeight="1">
      <c r="A60" s="479" t="str">
        <f>HLOOKUP(Language,Translation,52)</f>
        <v>EDI Connection available? (DELINS and DESADV)</v>
      </c>
      <c r="B60" s="480"/>
      <c r="C60" s="480"/>
      <c r="D60" s="480"/>
      <c r="E60" s="480"/>
      <c r="F60" s="480"/>
      <c r="G60" s="480"/>
      <c r="H60" s="480"/>
      <c r="I60" s="481"/>
      <c r="J60" s="485" t="s">
        <v>118</v>
      </c>
      <c r="K60" s="486"/>
    </row>
    <row r="61" spans="1:11" ht="18.75" customHeight="1" thickBot="1">
      <c r="A61" s="477" t="str">
        <f>HLOOKUP(Language,Translation,53)</f>
        <v>Contact Person EDI:</v>
      </c>
      <c r="B61" s="478"/>
      <c r="C61" s="482"/>
      <c r="D61" s="483"/>
      <c r="E61" s="483"/>
      <c r="F61" s="483"/>
      <c r="G61" s="483"/>
      <c r="H61" s="483"/>
      <c r="I61" s="483"/>
      <c r="J61" s="483"/>
      <c r="K61" s="484"/>
    </row>
  </sheetData>
  <sheetProtection algorithmName="SHA-512" hashValue="IeAYsQVwpamN9rhwVlsD+63+OiKLKpXKGpPkmAWikLXQ/z0pQqLcttCk/W51FDcaLSc7U7EDAedPRhOtNvmRpw==" saltValue="1NoW8QF/ViT0D+IJBUOLyA==" spinCount="100000" sheet="1" selectLockedCells="1"/>
  <mergeCells count="130">
    <mergeCell ref="A1:J1"/>
    <mergeCell ref="J26:K26"/>
    <mergeCell ref="C27:E27"/>
    <mergeCell ref="J27:K27"/>
    <mergeCell ref="C26:E26"/>
    <mergeCell ref="F26:I26"/>
    <mergeCell ref="F27:I27"/>
    <mergeCell ref="A27:B27"/>
    <mergeCell ref="A26:B26"/>
    <mergeCell ref="A25:K25"/>
    <mergeCell ref="F16:K16"/>
    <mergeCell ref="F8:K8"/>
    <mergeCell ref="F9:K9"/>
    <mergeCell ref="B3:K3"/>
    <mergeCell ref="A4:K4"/>
    <mergeCell ref="A5:K5"/>
    <mergeCell ref="F10:K10"/>
    <mergeCell ref="A12:E12"/>
    <mergeCell ref="F12:K12"/>
    <mergeCell ref="A13:E13"/>
    <mergeCell ref="F13:K13"/>
    <mergeCell ref="F18:K18"/>
    <mergeCell ref="A20:E20"/>
    <mergeCell ref="F20:K20"/>
    <mergeCell ref="D47:E47"/>
    <mergeCell ref="A61:B61"/>
    <mergeCell ref="A59:K59"/>
    <mergeCell ref="A60:I60"/>
    <mergeCell ref="C61:K61"/>
    <mergeCell ref="J60:K60"/>
    <mergeCell ref="A56:B56"/>
    <mergeCell ref="C56:K56"/>
    <mergeCell ref="A57:B57"/>
    <mergeCell ref="C57:K57"/>
    <mergeCell ref="D41:E41"/>
    <mergeCell ref="J34:K34"/>
    <mergeCell ref="A31:B31"/>
    <mergeCell ref="A53:B53"/>
    <mergeCell ref="C53:K53"/>
    <mergeCell ref="A54:B54"/>
    <mergeCell ref="C54:K54"/>
    <mergeCell ref="A55:B55"/>
    <mergeCell ref="C55:K55"/>
    <mergeCell ref="A52:K52"/>
    <mergeCell ref="A32:B32"/>
    <mergeCell ref="C32:E32"/>
    <mergeCell ref="F32:I32"/>
    <mergeCell ref="J32:K32"/>
    <mergeCell ref="A33:B33"/>
    <mergeCell ref="F31:I31"/>
    <mergeCell ref="J31:K31"/>
    <mergeCell ref="B49:C49"/>
    <mergeCell ref="B50:C50"/>
    <mergeCell ref="G49:I49"/>
    <mergeCell ref="G50:I50"/>
    <mergeCell ref="A36:B36"/>
    <mergeCell ref="C36:E36"/>
    <mergeCell ref="F36:I36"/>
    <mergeCell ref="J29:K29"/>
    <mergeCell ref="D48:E48"/>
    <mergeCell ref="D49:E49"/>
    <mergeCell ref="D50:E50"/>
    <mergeCell ref="A46:E46"/>
    <mergeCell ref="G46:K46"/>
    <mergeCell ref="B44:C44"/>
    <mergeCell ref="D44:E44"/>
    <mergeCell ref="J36:K36"/>
    <mergeCell ref="A37:B37"/>
    <mergeCell ref="C37:E37"/>
    <mergeCell ref="C38:E38"/>
    <mergeCell ref="F38:I38"/>
    <mergeCell ref="J38:K38"/>
    <mergeCell ref="A38:B38"/>
    <mergeCell ref="B48:C48"/>
    <mergeCell ref="G47:I47"/>
    <mergeCell ref="G48:I48"/>
    <mergeCell ref="B47:C47"/>
    <mergeCell ref="B41:C41"/>
    <mergeCell ref="B42:C42"/>
    <mergeCell ref="B43:C43"/>
    <mergeCell ref="F37:I37"/>
    <mergeCell ref="J37:K37"/>
    <mergeCell ref="A10:E10"/>
    <mergeCell ref="D42:E42"/>
    <mergeCell ref="D43:E43"/>
    <mergeCell ref="G40:K40"/>
    <mergeCell ref="A40:E40"/>
    <mergeCell ref="F21:K21"/>
    <mergeCell ref="A35:B35"/>
    <mergeCell ref="C35:E35"/>
    <mergeCell ref="F35:I35"/>
    <mergeCell ref="J35:K35"/>
    <mergeCell ref="F30:I30"/>
    <mergeCell ref="A28:B28"/>
    <mergeCell ref="C28:E28"/>
    <mergeCell ref="F28:I28"/>
    <mergeCell ref="A30:B30"/>
    <mergeCell ref="C30:E30"/>
    <mergeCell ref="J28:K28"/>
    <mergeCell ref="J30:K30"/>
    <mergeCell ref="A34:B34"/>
    <mergeCell ref="C34:E34"/>
    <mergeCell ref="F34:I34"/>
    <mergeCell ref="A29:B29"/>
    <mergeCell ref="C29:E29"/>
    <mergeCell ref="F29:I29"/>
    <mergeCell ref="A21:E21"/>
    <mergeCell ref="C33:E33"/>
    <mergeCell ref="F33:I33"/>
    <mergeCell ref="J33:K33"/>
    <mergeCell ref="C31:E31"/>
    <mergeCell ref="A23:K23"/>
    <mergeCell ref="A22:D22"/>
    <mergeCell ref="E22:K22"/>
    <mergeCell ref="A6:K6"/>
    <mergeCell ref="A7:K7"/>
    <mergeCell ref="A11:E11"/>
    <mergeCell ref="A17:E17"/>
    <mergeCell ref="F17:K17"/>
    <mergeCell ref="A19:E19"/>
    <mergeCell ref="A16:E16"/>
    <mergeCell ref="F19:K19"/>
    <mergeCell ref="A18:E18"/>
    <mergeCell ref="F14:K14"/>
    <mergeCell ref="A15:E15"/>
    <mergeCell ref="F15:K15"/>
    <mergeCell ref="A14:E14"/>
    <mergeCell ref="A9:E9"/>
    <mergeCell ref="A8:E8"/>
    <mergeCell ref="F11:K11"/>
  </mergeCells>
  <phoneticPr fontId="6" type="noConversion"/>
  <conditionalFormatting sqref="A13:K13">
    <cfRule type="containsBlanks" dxfId="88" priority="2">
      <formula>LEN(TRIM(A13))=0</formula>
    </cfRule>
  </conditionalFormatting>
  <conditionalFormatting sqref="A21:K21">
    <cfRule type="containsBlanks" dxfId="87" priority="3">
      <formula>LEN(TRIM(A21))=0</formula>
    </cfRule>
  </conditionalFormatting>
  <conditionalFormatting sqref="A54:K57 C61">
    <cfRule type="containsBlanks" dxfId="84" priority="10">
      <formula>LEN(TRIM(A54))=0</formula>
    </cfRule>
  </conditionalFormatting>
  <conditionalFormatting sqref="C27:K37 C38 F38 J38 A5:K5 A6:A7 A9:K9 A11:K11 A15:K15 A17:K17 A19:K19 A23 A42:E44 G42:K44 B47:C50 G47:J50 A49:A50">
    <cfRule type="containsBlanks" dxfId="83" priority="9">
      <formula>LEN(TRIM(A5))=0</formula>
    </cfRule>
  </conditionalFormatting>
  <dataValidations count="2">
    <dataValidation type="list" allowBlank="1" showInputMessage="1" showErrorMessage="1" sqref="J60:K60" xr:uid="{20CDA3D8-33DE-44DC-B6E9-DC6DA64E13BE}">
      <formula1>Selection</formula1>
    </dataValidation>
    <dataValidation type="list" allowBlank="1" showInputMessage="1" showErrorMessage="1" sqref="A13:E13" xr:uid="{CDBDB5BB-427D-4EEE-9872-CF97E05CDACC}">
      <formula1>Country</formula1>
    </dataValidation>
  </dataValidations>
  <printOptions horizontalCentered="1"/>
  <pageMargins left="0.59055118110236227" right="0.35433070866141736" top="0.43307086614173229" bottom="0.59055118110236227" header="0.23622047244094491" footer="0.15748031496062992"/>
  <pageSetup scale="71" orientation="portrait" r:id="rId1"/>
  <headerFooter alignWithMargins="0">
    <oddFooter>&amp;L&amp;6T.PU.005 Supplier Self Assessment and Approval Form / V3.3 / T.Schneider / 14.03.2024&amp;C&amp;1#&amp;8&amp;KA6A6A6restricted&amp;R&amp;6&amp;A   &amp;P/&amp;N</oddFooter>
  </headerFooter>
  <rowBreaks count="1" manualBreakCount="1">
    <brk id="50" max="10"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cellIs" priority="5" operator="equal" id="{D5641C4D-CA1E-4B8C-A4D5-5F9B7F788E65}">
            <xm:f>'Language table'!$B$3</xm:f>
            <x14:dxf>
              <fill>
                <patternFill>
                  <bgColor theme="0" tint="-0.14996795556505021"/>
                </patternFill>
              </fill>
            </x14:dxf>
          </x14:cfRule>
          <xm:sqref>A13 J60:K60</xm:sqref>
        </x14:conditionalFormatting>
        <x14:conditionalFormatting xmlns:xm="http://schemas.microsoft.com/office/excel/2006/main">
          <x14:cfRule type="expression" priority="4" id="{00000000-000E-0000-0100-000001000000}">
            <xm:f>OR(VC='Language table'!$E$3,VC='Language table'!$F$3)</xm:f>
            <x14:dxf>
              <font>
                <color theme="0"/>
              </font>
              <fill>
                <patternFill patternType="solid">
                  <bgColor theme="0"/>
                </patternFill>
              </fill>
            </x14:dxf>
          </x14:cfRule>
          <xm:sqref>A34:K37</xm:sqref>
        </x14:conditionalFormatting>
        <x14:conditionalFormatting xmlns:xm="http://schemas.microsoft.com/office/excel/2006/main">
          <x14:cfRule type="expression" priority="1" id="{7264ADDC-C2EF-45DE-AA91-65D7E570AEC1}">
            <xm:f>'E Social Responsibility'!$E$64='Language table'!$D$4</xm:f>
            <x14:dxf>
              <font>
                <color theme="0"/>
              </font>
              <fill>
                <patternFill>
                  <bgColor theme="0"/>
                </patternFill>
              </fill>
            </x14:dxf>
          </x14:cfRule>
          <xm:sqref>A38:K38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72"/>
  <sheetViews>
    <sheetView zoomScale="120" zoomScaleNormal="120" workbookViewId="0">
      <selection activeCell="D5" sqref="D5:E5"/>
    </sheetView>
  </sheetViews>
  <sheetFormatPr baseColWidth="10" defaultColWidth="11.42578125" defaultRowHeight="12.75"/>
  <cols>
    <col min="1" max="2" width="14.28515625" customWidth="1"/>
    <col min="3" max="5" width="9.140625" customWidth="1"/>
    <col min="6" max="8" width="10.85546875" customWidth="1"/>
    <col min="9" max="9" width="9.140625" customWidth="1"/>
    <col min="10" max="10" width="10.140625" customWidth="1"/>
    <col min="11" max="11" width="13.42578125" customWidth="1"/>
  </cols>
  <sheetData>
    <row r="1" spans="1:33" ht="42.75" customHeight="1" thickBot="1">
      <c r="A1" s="570" t="str">
        <f>HLOOKUP(Language,Translation,2)</f>
        <v>Supplier Self-Assessment</v>
      </c>
      <c r="B1" s="568"/>
      <c r="C1" s="568"/>
      <c r="D1" s="568"/>
      <c r="E1" s="568"/>
      <c r="F1" s="568"/>
      <c r="G1" s="568"/>
      <c r="H1" s="568"/>
      <c r="I1" s="568"/>
      <c r="J1" s="568"/>
      <c r="K1" s="569"/>
      <c r="L1" s="41"/>
      <c r="M1" s="41"/>
      <c r="N1" s="41"/>
      <c r="O1" s="41"/>
      <c r="P1" s="41"/>
      <c r="Q1" s="41"/>
      <c r="R1" s="41"/>
      <c r="S1" s="41"/>
      <c r="T1" s="41"/>
      <c r="U1" s="41"/>
      <c r="V1" s="41"/>
      <c r="W1" s="41"/>
      <c r="X1" s="41"/>
      <c r="Y1" s="41"/>
      <c r="Z1" s="41"/>
      <c r="AA1" s="41"/>
      <c r="AB1" s="41"/>
      <c r="AC1" s="41"/>
      <c r="AD1" s="41"/>
      <c r="AE1" s="41"/>
      <c r="AF1" s="41"/>
      <c r="AG1" s="41"/>
    </row>
    <row r="2" spans="1:33" ht="8.25" customHeight="1" thickBot="1">
      <c r="A2" s="42"/>
      <c r="B2" s="42"/>
      <c r="C2" s="42"/>
      <c r="D2" s="42"/>
      <c r="E2" s="42"/>
      <c r="F2" s="42"/>
      <c r="G2" s="42"/>
      <c r="H2" s="42"/>
      <c r="I2" s="42"/>
      <c r="J2" s="42"/>
      <c r="K2" s="42"/>
      <c r="L2" s="41"/>
      <c r="M2" s="41"/>
      <c r="N2" s="41"/>
      <c r="O2" s="41"/>
      <c r="P2" s="41"/>
      <c r="Q2" s="41"/>
      <c r="R2" s="41"/>
      <c r="S2" s="41"/>
      <c r="T2" s="41"/>
      <c r="U2" s="41"/>
      <c r="V2" s="41"/>
      <c r="W2" s="41"/>
      <c r="X2" s="41"/>
      <c r="Y2" s="41"/>
      <c r="Z2" s="41"/>
      <c r="AA2" s="41"/>
      <c r="AB2" s="41"/>
      <c r="AC2" s="41"/>
      <c r="AD2" s="41"/>
      <c r="AE2" s="41"/>
      <c r="AF2" s="41"/>
      <c r="AG2" s="41"/>
    </row>
    <row r="3" spans="1:33" ht="15.75" customHeight="1" thickBot="1">
      <c r="A3" s="43" t="s">
        <v>15</v>
      </c>
      <c r="B3" s="493" t="str">
        <f>HLOOKUP(Language,Translation,55)</f>
        <v>Financials</v>
      </c>
      <c r="C3" s="493"/>
      <c r="D3" s="493"/>
      <c r="E3" s="493"/>
      <c r="F3" s="493"/>
      <c r="G3" s="493"/>
      <c r="H3" s="493"/>
      <c r="I3" s="493"/>
      <c r="J3" s="493"/>
      <c r="K3" s="494"/>
      <c r="L3" s="41"/>
      <c r="M3" s="41"/>
      <c r="N3" s="41"/>
      <c r="O3" s="41"/>
      <c r="P3" s="41"/>
      <c r="Q3" s="41"/>
      <c r="R3" s="41"/>
      <c r="S3" s="41"/>
      <c r="T3" s="41"/>
      <c r="U3" s="41"/>
      <c r="V3" s="41"/>
      <c r="W3" s="41"/>
      <c r="X3" s="41"/>
      <c r="Y3" s="41"/>
      <c r="Z3" s="41"/>
      <c r="AA3" s="41"/>
      <c r="AB3" s="41"/>
      <c r="AC3" s="41"/>
      <c r="AD3" s="41"/>
      <c r="AE3" s="41"/>
      <c r="AF3" s="41"/>
      <c r="AG3" s="41"/>
    </row>
    <row r="4" spans="1:33" ht="29.25" customHeight="1">
      <c r="A4" s="514" t="str">
        <f>HLOOKUP(Language,Translation,56)</f>
        <v>Risk Assurance</v>
      </c>
      <c r="B4" s="515"/>
      <c r="C4" s="515"/>
      <c r="D4" s="580" t="str">
        <f>HLOOKUP(Language,Translation,57)</f>
        <v>Available</v>
      </c>
      <c r="E4" s="516"/>
      <c r="F4" s="515" t="str">
        <f>HLOOKUP(Language,Translation,58)</f>
        <v>If No, planned date</v>
      </c>
      <c r="G4" s="515"/>
      <c r="H4" s="516"/>
      <c r="I4" s="511" t="str">
        <f>HLOOKUP(Language,Translation,59)</f>
        <v>Amount of Coverage</v>
      </c>
      <c r="J4" s="586"/>
      <c r="K4" s="243" t="str">
        <f>HLOOKUP(Language,Translation,246)</f>
        <v>Currency</v>
      </c>
      <c r="L4" s="41"/>
      <c r="M4" s="41"/>
      <c r="N4" s="41"/>
      <c r="O4" s="41"/>
      <c r="P4" s="41"/>
      <c r="Q4" s="41"/>
      <c r="R4" s="41"/>
      <c r="S4" s="41"/>
      <c r="T4" s="41"/>
      <c r="U4" s="41"/>
      <c r="V4" s="41"/>
      <c r="W4" s="41"/>
      <c r="X4" s="41"/>
      <c r="Y4" s="41"/>
      <c r="Z4" s="41"/>
      <c r="AA4" s="41"/>
      <c r="AB4" s="41"/>
      <c r="AC4" s="41"/>
      <c r="AD4" s="41"/>
      <c r="AE4" s="41"/>
      <c r="AF4" s="41"/>
      <c r="AG4" s="41"/>
    </row>
    <row r="5" spans="1:33" ht="18.75" customHeight="1">
      <c r="A5" s="571" t="str">
        <f>HLOOKUP(Language,Translation,60)</f>
        <v xml:space="preserve">Public Liability Insurance </v>
      </c>
      <c r="B5" s="572"/>
      <c r="C5" s="573"/>
      <c r="D5" s="577" t="s">
        <v>118</v>
      </c>
      <c r="E5" s="578"/>
      <c r="F5" s="583"/>
      <c r="G5" s="584"/>
      <c r="H5" s="585"/>
      <c r="I5" s="581"/>
      <c r="J5" s="582"/>
      <c r="K5" s="241" t="s">
        <v>118</v>
      </c>
      <c r="L5" s="41"/>
      <c r="M5" s="41"/>
      <c r="N5" s="41"/>
      <c r="O5" s="41"/>
      <c r="P5" s="41"/>
      <c r="Q5" s="41"/>
      <c r="R5" s="41"/>
      <c r="S5" s="41"/>
      <c r="T5" s="41"/>
      <c r="U5" s="41"/>
      <c r="V5" s="41"/>
      <c r="W5" s="41"/>
      <c r="X5" s="41"/>
      <c r="Y5" s="41"/>
      <c r="Z5" s="41"/>
      <c r="AA5" s="41"/>
      <c r="AB5" s="41"/>
      <c r="AC5" s="41"/>
      <c r="AD5" s="41"/>
      <c r="AE5" s="41"/>
      <c r="AF5" s="41"/>
      <c r="AG5" s="41"/>
    </row>
    <row r="6" spans="1:33" ht="18.75" customHeight="1">
      <c r="A6" s="574" t="str">
        <f>HLOOKUP(Language,Translation,61)</f>
        <v>Extended Product Liability Insurance</v>
      </c>
      <c r="B6" s="575"/>
      <c r="C6" s="576"/>
      <c r="D6" s="503" t="s">
        <v>118</v>
      </c>
      <c r="E6" s="579"/>
      <c r="F6" s="583"/>
      <c r="G6" s="584"/>
      <c r="H6" s="585"/>
      <c r="I6" s="581"/>
      <c r="J6" s="582"/>
      <c r="K6" s="241" t="s">
        <v>118</v>
      </c>
      <c r="L6" s="41"/>
      <c r="M6" s="41"/>
      <c r="N6" s="41"/>
      <c r="O6" s="41"/>
      <c r="P6" s="41"/>
      <c r="Q6" s="41"/>
      <c r="R6" s="41"/>
      <c r="S6" s="41"/>
      <c r="T6" s="41"/>
      <c r="U6" s="41"/>
      <c r="V6" s="41"/>
      <c r="W6" s="41"/>
      <c r="X6" s="41"/>
      <c r="Y6" s="41"/>
      <c r="Z6" s="41"/>
      <c r="AA6" s="41"/>
      <c r="AB6" s="41"/>
      <c r="AC6" s="41"/>
      <c r="AD6" s="41"/>
      <c r="AE6" s="41"/>
      <c r="AF6" s="41"/>
      <c r="AG6" s="41"/>
    </row>
    <row r="7" spans="1:33" ht="18.75" customHeight="1">
      <c r="A7" s="574" t="str">
        <f>HLOOKUP(Language,Translation,62)</f>
        <v>Recall Cost Insurance</v>
      </c>
      <c r="B7" s="575"/>
      <c r="C7" s="576"/>
      <c r="D7" s="503" t="s">
        <v>118</v>
      </c>
      <c r="E7" s="549"/>
      <c r="F7" s="583"/>
      <c r="G7" s="584"/>
      <c r="H7" s="585"/>
      <c r="I7" s="581"/>
      <c r="J7" s="582"/>
      <c r="K7" s="241" t="s">
        <v>118</v>
      </c>
      <c r="L7" s="41"/>
      <c r="M7" s="41"/>
      <c r="N7" s="41"/>
      <c r="O7" s="41"/>
      <c r="P7" s="41"/>
      <c r="Q7" s="41"/>
      <c r="R7" s="41"/>
      <c r="S7" s="41"/>
      <c r="T7" s="41"/>
      <c r="U7" s="41"/>
      <c r="V7" s="41"/>
      <c r="W7" s="41"/>
      <c r="X7" s="41"/>
      <c r="Y7" s="41"/>
      <c r="Z7" s="41"/>
      <c r="AA7" s="41"/>
      <c r="AB7" s="41"/>
      <c r="AC7" s="41"/>
      <c r="AD7" s="41"/>
      <c r="AE7" s="41"/>
      <c r="AF7" s="41"/>
      <c r="AG7" s="41"/>
    </row>
    <row r="8" spans="1:33" ht="27.75" customHeight="1" thickBot="1">
      <c r="A8" s="599" t="str">
        <f>HLOOKUP(Language,Translation,63)</f>
        <v>Note: Detailed explanations of the insurance that BENTELER suppliers must maintain and provide evidence of can be found in the Explanation spreadsheet.</v>
      </c>
      <c r="B8" s="600"/>
      <c r="C8" s="600"/>
      <c r="D8" s="600"/>
      <c r="E8" s="600"/>
      <c r="F8" s="600"/>
      <c r="G8" s="600"/>
      <c r="H8" s="600"/>
      <c r="I8" s="600"/>
      <c r="J8" s="600"/>
      <c r="K8" s="601"/>
      <c r="L8" s="41"/>
      <c r="M8" s="41"/>
      <c r="N8" s="41"/>
      <c r="O8" s="41"/>
      <c r="P8" s="41"/>
      <c r="Q8" s="41"/>
      <c r="R8" s="41"/>
      <c r="S8" s="41"/>
      <c r="T8" s="41"/>
      <c r="U8" s="41"/>
      <c r="V8" s="41"/>
      <c r="W8" s="41"/>
      <c r="X8" s="41"/>
      <c r="Y8" s="41"/>
      <c r="Z8" s="41"/>
      <c r="AA8" s="41"/>
      <c r="AB8" s="41"/>
      <c r="AC8" s="41"/>
      <c r="AD8" s="41"/>
      <c r="AE8" s="41"/>
      <c r="AF8" s="41"/>
      <c r="AG8" s="41"/>
    </row>
    <row r="9" spans="1:33" ht="8.25" customHeight="1" thickBot="1">
      <c r="A9" s="44"/>
      <c r="B9" s="44"/>
      <c r="C9" s="44"/>
      <c r="D9" s="44"/>
      <c r="E9" s="44"/>
      <c r="F9" s="44"/>
      <c r="G9" s="44"/>
      <c r="H9" s="44"/>
      <c r="I9" s="44"/>
      <c r="J9" s="44"/>
      <c r="K9" s="41"/>
      <c r="L9" s="41"/>
      <c r="M9" s="41"/>
      <c r="N9" s="41"/>
      <c r="O9" s="41"/>
      <c r="P9" s="41"/>
      <c r="Q9" s="41"/>
      <c r="R9" s="41"/>
      <c r="S9" s="41"/>
      <c r="T9" s="41"/>
      <c r="U9" s="41"/>
      <c r="V9" s="41"/>
      <c r="W9" s="41"/>
      <c r="X9" s="41"/>
      <c r="Y9" s="41"/>
      <c r="Z9" s="41"/>
      <c r="AA9" s="41"/>
      <c r="AB9" s="41"/>
      <c r="AC9" s="41"/>
      <c r="AD9" s="41"/>
      <c r="AE9" s="41"/>
      <c r="AF9" s="41"/>
      <c r="AG9" s="41"/>
    </row>
    <row r="10" spans="1:33" ht="15.75" customHeight="1">
      <c r="A10" s="605" t="str">
        <f>HLOOKUP(Language,Translation,69)</f>
        <v>Bank Account(s)* – Wire Transfer Mandatory</v>
      </c>
      <c r="B10" s="606"/>
      <c r="C10" s="606"/>
      <c r="D10" s="606"/>
      <c r="E10" s="606"/>
      <c r="F10" s="606"/>
      <c r="G10" s="606"/>
      <c r="H10" s="606"/>
      <c r="I10" s="606"/>
      <c r="J10" s="606"/>
      <c r="K10" s="607"/>
      <c r="L10" s="41"/>
      <c r="M10" s="41"/>
      <c r="N10" s="41"/>
      <c r="O10" s="41"/>
      <c r="P10" s="41"/>
      <c r="Q10" s="41"/>
      <c r="R10" s="41"/>
      <c r="S10" s="41"/>
      <c r="T10" s="41"/>
      <c r="U10" s="41"/>
      <c r="V10" s="41"/>
      <c r="W10" s="41"/>
      <c r="X10" s="41"/>
      <c r="Y10" s="41"/>
      <c r="Z10" s="41"/>
      <c r="AA10" s="41"/>
      <c r="AB10" s="41"/>
      <c r="AC10" s="41"/>
      <c r="AD10" s="41"/>
      <c r="AE10" s="41"/>
      <c r="AF10" s="41"/>
      <c r="AG10" s="41"/>
    </row>
    <row r="11" spans="1:33" ht="15.75" customHeight="1" thickBot="1">
      <c r="A11" s="587" t="str">
        <f>HLOOKUP(Language,Translation,70)</f>
        <v>*Please attach an official document stating the bank details (PDF)</v>
      </c>
      <c r="B11" s="588"/>
      <c r="C11" s="588"/>
      <c r="D11" s="588"/>
      <c r="E11" s="588"/>
      <c r="F11" s="588"/>
      <c r="G11" s="588"/>
      <c r="H11" s="588"/>
      <c r="I11" s="588"/>
      <c r="J11" s="588"/>
      <c r="K11" s="589"/>
      <c r="L11" s="41"/>
      <c r="M11" s="41"/>
      <c r="N11" s="41"/>
      <c r="O11" s="41"/>
      <c r="P11" s="41"/>
      <c r="Q11" s="41"/>
      <c r="R11" s="41"/>
      <c r="S11" s="41"/>
      <c r="T11" s="41"/>
      <c r="U11" s="41"/>
      <c r="V11" s="41"/>
      <c r="W11" s="41"/>
      <c r="X11" s="41"/>
      <c r="Y11" s="41"/>
      <c r="Z11" s="41"/>
      <c r="AA11" s="41"/>
      <c r="AB11" s="41"/>
      <c r="AC11" s="41"/>
      <c r="AD11" s="41"/>
      <c r="AE11" s="41"/>
      <c r="AF11" s="41"/>
      <c r="AG11" s="41"/>
    </row>
    <row r="12" spans="1:33" ht="15" customHeight="1">
      <c r="A12" s="553" t="str">
        <f>HLOOKUP(Language,Translation,71)</f>
        <v>Bank Name &amp; Address</v>
      </c>
      <c r="B12" s="554"/>
      <c r="C12" s="552" t="str">
        <f>HLOOKUP(Language,Translation,72)</f>
        <v>Account No.</v>
      </c>
      <c r="D12" s="552"/>
      <c r="E12" s="556" t="str">
        <f>HLOOKUP(Language,Translation,73)</f>
        <v>Routing No.</v>
      </c>
      <c r="F12" s="557"/>
      <c r="G12" s="552" t="str">
        <f>HLOOKUP(Language,Translation,74)</f>
        <v>SWIFT Code</v>
      </c>
      <c r="H12" s="552"/>
      <c r="I12" s="552" t="str">
        <f>HLOOKUP(Language,Translation,75)</f>
        <v>IBAN</v>
      </c>
      <c r="J12" s="552"/>
      <c r="K12" s="562"/>
      <c r="L12" s="41"/>
      <c r="M12" s="41"/>
      <c r="N12" s="41"/>
      <c r="O12" s="41"/>
      <c r="P12" s="41"/>
      <c r="Q12" s="41"/>
      <c r="R12" s="41"/>
      <c r="S12" s="41"/>
      <c r="T12" s="41"/>
      <c r="U12" s="41"/>
      <c r="V12" s="41"/>
      <c r="W12" s="41"/>
      <c r="X12" s="41"/>
      <c r="Y12" s="41"/>
      <c r="Z12" s="41"/>
      <c r="AA12" s="41"/>
      <c r="AB12" s="41"/>
      <c r="AC12" s="41"/>
      <c r="AD12" s="41"/>
      <c r="AE12" s="41"/>
      <c r="AF12" s="41"/>
      <c r="AG12" s="41"/>
    </row>
    <row r="13" spans="1:33" ht="18.75" customHeight="1">
      <c r="A13" s="558"/>
      <c r="B13" s="555"/>
      <c r="C13" s="555"/>
      <c r="D13" s="555"/>
      <c r="E13" s="555"/>
      <c r="F13" s="555"/>
      <c r="G13" s="555"/>
      <c r="H13" s="555"/>
      <c r="I13" s="563"/>
      <c r="J13" s="563"/>
      <c r="K13" s="564"/>
      <c r="L13" s="41"/>
      <c r="M13" s="41"/>
      <c r="N13" s="41"/>
      <c r="O13" s="41"/>
      <c r="P13" s="41"/>
      <c r="Q13" s="41"/>
      <c r="R13" s="41"/>
      <c r="S13" s="41"/>
      <c r="T13" s="41"/>
      <c r="U13" s="41"/>
      <c r="V13" s="41"/>
      <c r="W13" s="41"/>
      <c r="X13" s="41"/>
      <c r="Y13" s="41"/>
      <c r="Z13" s="41"/>
      <c r="AA13" s="41"/>
      <c r="AB13" s="41"/>
      <c r="AC13" s="41"/>
      <c r="AD13" s="41"/>
      <c r="AE13" s="41"/>
      <c r="AF13" s="41"/>
      <c r="AG13" s="41"/>
    </row>
    <row r="14" spans="1:33" ht="18.75" customHeight="1">
      <c r="A14" s="558"/>
      <c r="B14" s="555"/>
      <c r="C14" s="555"/>
      <c r="D14" s="555"/>
      <c r="E14" s="555"/>
      <c r="F14" s="555"/>
      <c r="G14" s="555"/>
      <c r="H14" s="555"/>
      <c r="I14" s="563"/>
      <c r="J14" s="563"/>
      <c r="K14" s="564"/>
      <c r="L14" s="41"/>
      <c r="M14" s="41"/>
      <c r="N14" s="41"/>
      <c r="O14" s="41"/>
      <c r="P14" s="41"/>
      <c r="Q14" s="41"/>
      <c r="R14" s="41"/>
      <c r="S14" s="41"/>
      <c r="T14" s="41"/>
      <c r="U14" s="41"/>
      <c r="V14" s="41"/>
      <c r="W14" s="41"/>
      <c r="X14" s="41"/>
      <c r="Y14" s="41"/>
      <c r="Z14" s="41"/>
      <c r="AA14" s="41"/>
      <c r="AB14" s="41"/>
      <c r="AC14" s="41"/>
      <c r="AD14" s="41"/>
      <c r="AE14" s="41"/>
      <c r="AF14" s="41"/>
      <c r="AG14" s="41"/>
    </row>
    <row r="15" spans="1:33" ht="18.75" customHeight="1" thickBot="1">
      <c r="A15" s="611"/>
      <c r="B15" s="612"/>
      <c r="C15" s="612"/>
      <c r="D15" s="612"/>
      <c r="E15" s="612"/>
      <c r="F15" s="612"/>
      <c r="G15" s="612"/>
      <c r="H15" s="612"/>
      <c r="I15" s="529"/>
      <c r="J15" s="529"/>
      <c r="K15" s="530"/>
      <c r="L15" s="41"/>
      <c r="M15" s="41"/>
      <c r="N15" s="41"/>
      <c r="O15" s="41"/>
      <c r="P15" s="41"/>
      <c r="Q15" s="41"/>
      <c r="R15" s="41"/>
      <c r="S15" s="41"/>
      <c r="T15" s="41"/>
      <c r="U15" s="41"/>
      <c r="V15" s="41"/>
      <c r="W15" s="41"/>
      <c r="X15" s="41"/>
      <c r="Y15" s="41"/>
      <c r="Z15" s="41"/>
      <c r="AA15" s="41"/>
      <c r="AB15" s="41"/>
      <c r="AC15" s="41"/>
      <c r="AD15" s="41"/>
      <c r="AE15" s="41"/>
      <c r="AF15" s="41"/>
      <c r="AG15" s="41"/>
    </row>
    <row r="16" spans="1:33" ht="8.25" customHeight="1" thickBot="1">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row>
    <row r="17" spans="1:33" ht="18.75" customHeight="1" thickBot="1">
      <c r="A17" s="613" t="str">
        <f>HLOOKUP(Language,Translation,246)</f>
        <v>Currency</v>
      </c>
      <c r="B17" s="614"/>
      <c r="C17" s="615"/>
      <c r="D17" s="559" t="s">
        <v>118</v>
      </c>
      <c r="E17" s="560"/>
      <c r="F17" s="560"/>
      <c r="G17" s="560"/>
      <c r="H17" s="560"/>
      <c r="I17" s="560"/>
      <c r="J17" s="560"/>
      <c r="K17" s="561"/>
      <c r="L17" s="41"/>
      <c r="M17" s="41"/>
      <c r="N17" s="41"/>
      <c r="O17" s="41"/>
      <c r="P17" s="41"/>
      <c r="Q17" s="41"/>
      <c r="R17" s="41"/>
      <c r="S17" s="41"/>
      <c r="T17" s="41"/>
      <c r="U17" s="41"/>
      <c r="V17" s="41"/>
      <c r="W17" s="41"/>
      <c r="X17" s="41"/>
      <c r="Y17" s="41"/>
      <c r="Z17" s="41"/>
      <c r="AA17" s="41"/>
      <c r="AB17" s="41"/>
      <c r="AC17" s="41"/>
      <c r="AD17" s="41"/>
      <c r="AE17" s="41"/>
      <c r="AF17" s="41"/>
      <c r="AG17" s="41"/>
    </row>
    <row r="18" spans="1:33" ht="8.25" customHeight="1" thickBot="1">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row>
    <row r="19" spans="1:33" ht="18.75" customHeight="1" thickBot="1">
      <c r="A19" s="613" t="str">
        <f>HLOOKUP(Language,Translation,77)</f>
        <v>Incoterm</v>
      </c>
      <c r="B19" s="614"/>
      <c r="C19" s="615"/>
      <c r="D19" s="559" t="s">
        <v>118</v>
      </c>
      <c r="E19" s="560"/>
      <c r="F19" s="560"/>
      <c r="G19" s="560"/>
      <c r="H19" s="560"/>
      <c r="I19" s="560"/>
      <c r="J19" s="560"/>
      <c r="K19" s="561"/>
      <c r="L19" s="41"/>
      <c r="M19" s="202"/>
      <c r="N19" s="41"/>
      <c r="O19" s="41"/>
      <c r="P19" s="41"/>
      <c r="Q19" s="41"/>
      <c r="R19" s="41"/>
      <c r="S19" s="41"/>
      <c r="T19" s="41"/>
      <c r="U19" s="41"/>
      <c r="V19" s="41"/>
      <c r="W19" s="41"/>
      <c r="X19" s="41"/>
      <c r="Y19" s="41"/>
      <c r="Z19" s="41"/>
      <c r="AA19" s="41"/>
      <c r="AB19" s="41"/>
      <c r="AC19" s="41"/>
      <c r="AD19" s="41"/>
      <c r="AE19" s="41"/>
      <c r="AF19" s="41"/>
      <c r="AG19" s="41"/>
    </row>
    <row r="20" spans="1:33" ht="13.5" thickBo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row>
    <row r="21" spans="1:33" ht="16.5" thickBot="1">
      <c r="A21" s="43" t="s">
        <v>115</v>
      </c>
      <c r="B21" s="493" t="str">
        <f>HLOOKUP(Language,Translation,78)</f>
        <v>Certificates &amp; Quality</v>
      </c>
      <c r="C21" s="493"/>
      <c r="D21" s="493"/>
      <c r="E21" s="493"/>
      <c r="F21" s="493"/>
      <c r="G21" s="493"/>
      <c r="H21" s="493"/>
      <c r="I21" s="493"/>
      <c r="J21" s="493"/>
      <c r="K21" s="494"/>
      <c r="L21" s="41"/>
      <c r="M21" s="41"/>
      <c r="N21" s="41"/>
      <c r="O21" s="41"/>
      <c r="P21" s="41"/>
      <c r="Q21" s="41"/>
      <c r="R21" s="41"/>
      <c r="S21" s="41"/>
      <c r="T21" s="41"/>
      <c r="U21" s="41"/>
      <c r="V21" s="41"/>
      <c r="W21" s="41"/>
      <c r="X21" s="41"/>
      <c r="Y21" s="41"/>
      <c r="Z21" s="41"/>
      <c r="AA21" s="41"/>
      <c r="AB21" s="41"/>
      <c r="AC21" s="41"/>
      <c r="AD21" s="41"/>
      <c r="AE21" s="41"/>
      <c r="AF21" s="41"/>
      <c r="AG21" s="41"/>
    </row>
    <row r="22" spans="1:33" ht="15">
      <c r="A22" s="531" t="str">
        <f>HLOOKUP(Language,Translation,64)</f>
        <v xml:space="preserve">Minority Certification </v>
      </c>
      <c r="B22" s="532"/>
      <c r="C22" s="533" t="str">
        <f>HLOOKUP(Language,Translation,65)</f>
        <v>(Only USA / South Africa)</v>
      </c>
      <c r="D22" s="533"/>
      <c r="E22" s="533"/>
      <c r="F22" s="533"/>
      <c r="G22" s="533"/>
      <c r="H22" s="533"/>
      <c r="I22" s="533"/>
      <c r="J22" s="533"/>
      <c r="K22" s="534"/>
      <c r="L22" s="41"/>
      <c r="M22" s="41"/>
      <c r="N22" s="41"/>
      <c r="O22" s="41"/>
      <c r="P22" s="41"/>
      <c r="Q22" s="41"/>
      <c r="R22" s="41"/>
      <c r="S22" s="41"/>
      <c r="T22" s="41"/>
      <c r="U22" s="41"/>
      <c r="V22" s="41"/>
      <c r="W22" s="41"/>
      <c r="X22" s="41"/>
      <c r="Y22" s="41"/>
      <c r="Z22" s="41"/>
      <c r="AA22" s="41"/>
      <c r="AB22" s="41"/>
      <c r="AC22" s="41"/>
      <c r="AD22" s="41"/>
      <c r="AE22" s="41"/>
      <c r="AF22" s="41"/>
      <c r="AG22" s="41"/>
    </row>
    <row r="23" spans="1:33" ht="15">
      <c r="A23" s="590"/>
      <c r="B23" s="550"/>
      <c r="C23" s="535" t="str">
        <f>HLOOKUP(Language,Translation,57)</f>
        <v>Available</v>
      </c>
      <c r="D23" s="536"/>
      <c r="E23" s="550" t="str">
        <f>HLOOKUP(Language,Translation,66)</f>
        <v>Expiration date</v>
      </c>
      <c r="F23" s="550"/>
      <c r="G23" s="550" t="str">
        <f>HLOOKUP(Language,Translation,67)</f>
        <v>Type</v>
      </c>
      <c r="H23" s="550"/>
      <c r="I23" s="550"/>
      <c r="J23" s="550"/>
      <c r="K23" s="551"/>
      <c r="L23" s="41"/>
      <c r="M23" s="41"/>
      <c r="N23" s="41"/>
      <c r="O23" s="41"/>
      <c r="P23" s="41"/>
      <c r="Q23" s="41"/>
      <c r="R23" s="41"/>
      <c r="S23" s="41"/>
      <c r="T23" s="41"/>
      <c r="U23" s="41"/>
      <c r="V23" s="41"/>
      <c r="W23" s="41"/>
      <c r="X23" s="41"/>
      <c r="Y23" s="41"/>
      <c r="Z23" s="41"/>
      <c r="AA23" s="41"/>
      <c r="AB23" s="41"/>
      <c r="AC23" s="41"/>
      <c r="AD23" s="41"/>
      <c r="AE23" s="41"/>
      <c r="AF23" s="41"/>
      <c r="AG23" s="41"/>
    </row>
    <row r="24" spans="1:33" ht="18.75" customHeight="1" thickBot="1">
      <c r="A24" s="602" t="str">
        <f>HLOOKUP(Language,Translation,68)</f>
        <v>Minority certified</v>
      </c>
      <c r="B24" s="603"/>
      <c r="C24" s="537" t="s">
        <v>118</v>
      </c>
      <c r="D24" s="538"/>
      <c r="E24" s="604"/>
      <c r="F24" s="604"/>
      <c r="G24" s="529"/>
      <c r="H24" s="529"/>
      <c r="I24" s="529"/>
      <c r="J24" s="529"/>
      <c r="K24" s="530"/>
      <c r="L24" s="41"/>
      <c r="M24" s="41"/>
      <c r="N24" s="41"/>
      <c r="O24" s="41"/>
      <c r="P24" s="41"/>
      <c r="Q24" s="41"/>
      <c r="R24" s="41"/>
      <c r="S24" s="41"/>
      <c r="T24" s="41"/>
      <c r="U24" s="41"/>
      <c r="V24" s="41"/>
      <c r="W24" s="41"/>
      <c r="X24" s="41"/>
      <c r="Y24" s="41"/>
      <c r="Z24" s="41"/>
      <c r="AA24" s="41"/>
      <c r="AB24" s="41"/>
      <c r="AC24" s="41"/>
      <c r="AD24" s="41"/>
      <c r="AE24" s="41"/>
      <c r="AF24" s="41"/>
      <c r="AG24" s="41"/>
    </row>
    <row r="25" spans="1:33" ht="8.25" customHeight="1" thickBot="1">
      <c r="A25" s="236"/>
      <c r="B25" s="237"/>
      <c r="C25" s="237"/>
      <c r="D25" s="237"/>
      <c r="E25" s="237"/>
      <c r="F25" s="237"/>
      <c r="G25" s="237"/>
      <c r="H25" s="237"/>
      <c r="I25" s="237"/>
      <c r="J25" s="237"/>
      <c r="K25" s="237"/>
      <c r="L25" s="41"/>
      <c r="M25" s="41"/>
      <c r="N25" s="41"/>
      <c r="O25" s="41"/>
      <c r="P25" s="41"/>
      <c r="Q25" s="41"/>
      <c r="R25" s="41"/>
      <c r="S25" s="41"/>
      <c r="T25" s="41"/>
      <c r="U25" s="41"/>
      <c r="V25" s="41"/>
      <c r="W25" s="41"/>
      <c r="X25" s="41"/>
      <c r="Y25" s="41"/>
      <c r="Z25" s="41"/>
      <c r="AA25" s="41"/>
      <c r="AB25" s="41"/>
      <c r="AC25" s="41"/>
      <c r="AD25" s="41"/>
      <c r="AE25" s="41"/>
      <c r="AF25" s="41"/>
      <c r="AG25" s="41"/>
    </row>
    <row r="26" spans="1:33" ht="15">
      <c r="A26" s="45" t="str">
        <f>HLOOKUP(Language,Translation,79)</f>
        <v>Management Certification</v>
      </c>
      <c r="B26" s="46"/>
      <c r="C26" s="46"/>
      <c r="D26" s="46"/>
      <c r="E26" s="46"/>
      <c r="F26" s="46"/>
      <c r="G26" s="46"/>
      <c r="H26" s="46"/>
      <c r="I26" s="46"/>
      <c r="J26" s="46"/>
      <c r="K26" s="47"/>
      <c r="L26" s="41"/>
      <c r="M26" s="41"/>
      <c r="N26" s="41"/>
      <c r="O26" s="41"/>
      <c r="P26" s="41"/>
      <c r="Q26" s="41"/>
      <c r="R26" s="41"/>
      <c r="S26" s="41"/>
      <c r="T26" s="41"/>
      <c r="U26" s="41"/>
      <c r="V26" s="41"/>
      <c r="W26" s="41"/>
      <c r="X26" s="41"/>
      <c r="Y26" s="41"/>
      <c r="Z26" s="41"/>
      <c r="AA26" s="41"/>
      <c r="AB26" s="41"/>
      <c r="AC26" s="41"/>
      <c r="AD26" s="41"/>
      <c r="AE26" s="41"/>
      <c r="AF26" s="41"/>
      <c r="AG26" s="41"/>
    </row>
    <row r="27" spans="1:33">
      <c r="A27" s="48" t="str">
        <f>HLOOKUP(Language,Translation,80)</f>
        <v>*Please attach a copy of the management certificates (PDF)</v>
      </c>
      <c r="B27" s="49"/>
      <c r="C27" s="49"/>
      <c r="D27" s="49"/>
      <c r="E27" s="49"/>
      <c r="F27" s="49"/>
      <c r="G27" s="49"/>
      <c r="H27" s="49"/>
      <c r="I27" s="49"/>
      <c r="J27" s="49"/>
      <c r="K27" s="50"/>
      <c r="L27" s="41"/>
      <c r="M27" s="41"/>
      <c r="N27" s="41"/>
      <c r="O27" s="41"/>
      <c r="P27" s="41"/>
      <c r="Q27" s="41"/>
      <c r="R27" s="41"/>
      <c r="S27" s="41"/>
      <c r="T27" s="41"/>
      <c r="U27" s="41"/>
      <c r="V27" s="41"/>
      <c r="W27" s="41"/>
      <c r="X27" s="41"/>
      <c r="Y27" s="41"/>
      <c r="Z27" s="41"/>
      <c r="AA27" s="41"/>
      <c r="AB27" s="41"/>
      <c r="AC27" s="41"/>
      <c r="AD27" s="41"/>
      <c r="AE27" s="41"/>
      <c r="AF27" s="41"/>
      <c r="AG27" s="41"/>
    </row>
    <row r="28" spans="1:33" ht="30" customHeight="1">
      <c r="A28" s="565" t="str">
        <f>HLOOKUP(Language,Translation,81)</f>
        <v>*Certificate</v>
      </c>
      <c r="B28" s="566"/>
      <c r="C28" s="567"/>
      <c r="D28" s="609" t="str">
        <f>HLOOKUP(Language,Translation,57)</f>
        <v>Available</v>
      </c>
      <c r="E28" s="610"/>
      <c r="F28" s="539" t="str">
        <f>HLOOKUP(Language,Translation,58)</f>
        <v>If No, planned date</v>
      </c>
      <c r="G28" s="540"/>
      <c r="H28" s="539" t="str">
        <f>HLOOKUP(Language,Translation,66)</f>
        <v>Expiration date</v>
      </c>
      <c r="I28" s="540"/>
      <c r="J28" s="539" t="str">
        <f>HLOOKUP(Language,Translation,88)</f>
        <v>Certification Organization</v>
      </c>
      <c r="K28" s="541"/>
      <c r="L28" s="41"/>
      <c r="M28" s="41"/>
      <c r="N28" s="41"/>
      <c r="O28" s="41"/>
      <c r="P28" s="41"/>
      <c r="Q28" s="41"/>
      <c r="R28" s="41"/>
      <c r="S28" s="41"/>
      <c r="T28" s="41"/>
      <c r="U28" s="41"/>
      <c r="V28" s="41"/>
      <c r="W28" s="41"/>
      <c r="X28" s="41"/>
      <c r="Y28" s="41"/>
      <c r="Z28" s="41"/>
      <c r="AA28" s="41"/>
      <c r="AB28" s="41"/>
      <c r="AC28" s="41"/>
      <c r="AD28" s="41"/>
      <c r="AE28" s="41"/>
      <c r="AF28" s="41"/>
      <c r="AG28" s="41"/>
    </row>
    <row r="29" spans="1:33" ht="18.75" customHeight="1">
      <c r="A29" s="546" t="str">
        <f>HLOOKUP(Language,Translation,82)</f>
        <v>ISO 9001</v>
      </c>
      <c r="B29" s="547"/>
      <c r="C29" s="548"/>
      <c r="D29" s="503" t="s">
        <v>118</v>
      </c>
      <c r="E29" s="549"/>
      <c r="F29" s="542"/>
      <c r="G29" s="543"/>
      <c r="H29" s="542"/>
      <c r="I29" s="543"/>
      <c r="J29" s="544"/>
      <c r="K29" s="545"/>
      <c r="L29" s="41"/>
      <c r="M29" s="41"/>
      <c r="N29" s="41"/>
      <c r="O29" s="41"/>
      <c r="P29" s="41"/>
      <c r="Q29" s="41"/>
      <c r="R29" s="41"/>
      <c r="S29" s="41"/>
      <c r="T29" s="41"/>
      <c r="U29" s="41"/>
      <c r="V29" s="41"/>
      <c r="W29" s="41"/>
      <c r="X29" s="41"/>
      <c r="Y29" s="41"/>
      <c r="Z29" s="41"/>
      <c r="AA29" s="41"/>
      <c r="AB29" s="41"/>
      <c r="AC29" s="41"/>
      <c r="AD29" s="41"/>
      <c r="AE29" s="41"/>
      <c r="AF29" s="41"/>
      <c r="AG29" s="41"/>
    </row>
    <row r="30" spans="1:33" ht="18.75" customHeight="1">
      <c r="A30" s="546" t="str">
        <f>HLOOKUP(Language,Translation,83)</f>
        <v>IATF 16949</v>
      </c>
      <c r="B30" s="547"/>
      <c r="C30" s="548"/>
      <c r="D30" s="503" t="s">
        <v>118</v>
      </c>
      <c r="E30" s="549"/>
      <c r="F30" s="542"/>
      <c r="G30" s="543"/>
      <c r="H30" s="542"/>
      <c r="I30" s="543"/>
      <c r="J30" s="544"/>
      <c r="K30" s="545"/>
      <c r="L30" s="41"/>
      <c r="M30" s="41"/>
      <c r="N30" s="41"/>
      <c r="O30" s="41"/>
      <c r="P30" s="41"/>
      <c r="Q30" s="41"/>
      <c r="R30" s="41"/>
      <c r="S30" s="41"/>
      <c r="T30" s="41"/>
      <c r="U30" s="41"/>
      <c r="V30" s="41"/>
      <c r="W30" s="41"/>
      <c r="X30" s="41"/>
      <c r="Y30" s="41"/>
      <c r="Z30" s="41"/>
      <c r="AA30" s="41"/>
      <c r="AB30" s="41"/>
      <c r="AC30" s="41"/>
      <c r="AD30" s="41"/>
      <c r="AE30" s="41"/>
      <c r="AF30" s="41"/>
      <c r="AG30" s="41"/>
    </row>
    <row r="31" spans="1:33" ht="18.75" customHeight="1">
      <c r="A31" s="546" t="str">
        <f>HLOOKUP(Language,Translation,204)</f>
        <v>VDA 6.1</v>
      </c>
      <c r="B31" s="547"/>
      <c r="C31" s="548"/>
      <c r="D31" s="503" t="s">
        <v>118</v>
      </c>
      <c r="E31" s="549"/>
      <c r="F31" s="542"/>
      <c r="G31" s="543"/>
      <c r="H31" s="542"/>
      <c r="I31" s="543"/>
      <c r="J31" s="544"/>
      <c r="K31" s="545"/>
      <c r="L31" s="41"/>
      <c r="M31" s="41"/>
      <c r="N31" s="41"/>
      <c r="O31" s="41"/>
      <c r="P31" s="41"/>
      <c r="Q31" s="41"/>
      <c r="R31" s="41"/>
      <c r="S31" s="41"/>
      <c r="T31" s="41"/>
      <c r="U31" s="41"/>
      <c r="V31" s="41"/>
      <c r="W31" s="41"/>
      <c r="X31" s="41"/>
      <c r="Y31" s="41"/>
      <c r="Z31" s="41"/>
      <c r="AA31" s="41"/>
      <c r="AB31" s="41"/>
      <c r="AC31" s="41"/>
      <c r="AD31" s="41"/>
      <c r="AE31" s="41"/>
      <c r="AF31" s="41"/>
      <c r="AG31" s="41"/>
    </row>
    <row r="32" spans="1:33" ht="18.75" customHeight="1">
      <c r="A32" s="546" t="str">
        <f>HLOOKUP(Language,Translation,84)</f>
        <v>ISO 17025 (only Laboratory)</v>
      </c>
      <c r="B32" s="547"/>
      <c r="C32" s="548"/>
      <c r="D32" s="503" t="s">
        <v>118</v>
      </c>
      <c r="E32" s="549"/>
      <c r="F32" s="542"/>
      <c r="G32" s="543"/>
      <c r="H32" s="542"/>
      <c r="I32" s="543"/>
      <c r="J32" s="544"/>
      <c r="K32" s="545"/>
      <c r="L32" s="41"/>
      <c r="M32" s="41"/>
      <c r="N32" s="41"/>
      <c r="O32" s="41"/>
      <c r="P32" s="41"/>
      <c r="Q32" s="41"/>
      <c r="R32" s="41"/>
      <c r="S32" s="41"/>
      <c r="T32" s="41"/>
      <c r="U32" s="41"/>
      <c r="V32" s="41"/>
      <c r="W32" s="41"/>
      <c r="X32" s="41"/>
      <c r="Y32" s="41"/>
      <c r="Z32" s="41"/>
      <c r="AA32" s="41"/>
      <c r="AB32" s="41"/>
      <c r="AC32" s="41"/>
      <c r="AD32" s="41"/>
      <c r="AE32" s="41"/>
      <c r="AF32" s="41"/>
      <c r="AG32" s="41"/>
    </row>
    <row r="33" spans="1:33" ht="18.75" customHeight="1">
      <c r="A33" s="546" t="str">
        <f>HLOOKUP(Language,Translation,85)</f>
        <v>ISO 14001</v>
      </c>
      <c r="B33" s="547"/>
      <c r="C33" s="548"/>
      <c r="D33" s="503" t="s">
        <v>118</v>
      </c>
      <c r="E33" s="549"/>
      <c r="F33" s="542"/>
      <c r="G33" s="543"/>
      <c r="H33" s="542"/>
      <c r="I33" s="543"/>
      <c r="J33" s="544"/>
      <c r="K33" s="545"/>
      <c r="L33" s="41"/>
      <c r="M33" s="41"/>
      <c r="N33" s="41"/>
      <c r="O33" s="41"/>
      <c r="P33" s="41"/>
      <c r="Q33" s="41"/>
      <c r="R33" s="41"/>
      <c r="S33" s="41"/>
      <c r="T33" s="41"/>
      <c r="U33" s="41"/>
      <c r="V33" s="41"/>
      <c r="W33" s="41"/>
      <c r="X33" s="41"/>
      <c r="Y33" s="41"/>
      <c r="Z33" s="41"/>
      <c r="AA33" s="41"/>
      <c r="AB33" s="41"/>
      <c r="AC33" s="41"/>
      <c r="AD33" s="41"/>
      <c r="AE33" s="41"/>
      <c r="AF33" s="41"/>
      <c r="AG33" s="41"/>
    </row>
    <row r="34" spans="1:33" ht="18.75" customHeight="1">
      <c r="A34" s="546" t="str">
        <f>HLOOKUP(Language,Translation,86)</f>
        <v>ISO 45001 (former OHSAS 18001)</v>
      </c>
      <c r="B34" s="547"/>
      <c r="C34" s="548"/>
      <c r="D34" s="577" t="s">
        <v>118</v>
      </c>
      <c r="E34" s="608"/>
      <c r="F34" s="542"/>
      <c r="G34" s="543"/>
      <c r="H34" s="542"/>
      <c r="I34" s="543"/>
      <c r="J34" s="544"/>
      <c r="K34" s="545"/>
      <c r="L34" s="41"/>
      <c r="M34" s="41"/>
      <c r="N34" s="41"/>
      <c r="O34" s="41"/>
      <c r="P34" s="41"/>
      <c r="Q34" s="41"/>
      <c r="R34" s="41"/>
      <c r="S34" s="41"/>
      <c r="T34" s="41"/>
      <c r="U34" s="41"/>
      <c r="V34" s="41"/>
      <c r="W34" s="41"/>
      <c r="X34" s="41"/>
      <c r="Y34" s="41"/>
      <c r="Z34" s="41"/>
      <c r="AA34" s="41"/>
      <c r="AB34" s="41"/>
      <c r="AC34" s="41"/>
      <c r="AD34" s="41"/>
      <c r="AE34" s="41"/>
      <c r="AF34" s="41"/>
      <c r="AG34" s="41"/>
    </row>
    <row r="35" spans="1:33" ht="18.75" customHeight="1">
      <c r="A35" s="546" t="str">
        <f>HLOOKUP(Language,Translation,87)</f>
        <v>ISO 50001</v>
      </c>
      <c r="B35" s="547"/>
      <c r="C35" s="548"/>
      <c r="D35" s="577" t="s">
        <v>118</v>
      </c>
      <c r="E35" s="608"/>
      <c r="F35" s="542"/>
      <c r="G35" s="543"/>
      <c r="H35" s="542"/>
      <c r="I35" s="543"/>
      <c r="J35" s="544"/>
      <c r="K35" s="545"/>
      <c r="L35" s="41"/>
      <c r="M35" s="41"/>
      <c r="N35" s="41"/>
      <c r="O35" s="41"/>
      <c r="P35" s="41"/>
      <c r="Q35" s="41"/>
      <c r="R35" s="41"/>
      <c r="S35" s="41"/>
      <c r="T35" s="41"/>
      <c r="U35" s="41"/>
      <c r="V35" s="41"/>
      <c r="W35" s="41"/>
      <c r="X35" s="41"/>
      <c r="Y35" s="41"/>
      <c r="Z35" s="41"/>
      <c r="AA35" s="41"/>
      <c r="AB35" s="41"/>
      <c r="AC35" s="41"/>
      <c r="AD35" s="41"/>
      <c r="AE35" s="41"/>
      <c r="AF35" s="41"/>
      <c r="AG35" s="41"/>
    </row>
    <row r="36" spans="1:33" ht="18.75" customHeight="1">
      <c r="A36" s="627" t="str">
        <f>HLOOKUP(Language,Translation,256)</f>
        <v>Cyber Security</v>
      </c>
      <c r="B36" s="628"/>
      <c r="C36" s="629"/>
      <c r="D36" s="595" t="s">
        <v>118</v>
      </c>
      <c r="E36" s="596"/>
      <c r="F36" s="507"/>
      <c r="G36" s="508"/>
      <c r="H36" s="507"/>
      <c r="I36" s="508"/>
      <c r="J36" s="509"/>
      <c r="K36" s="510"/>
      <c r="L36" s="41"/>
      <c r="M36" s="41"/>
      <c r="N36" s="41"/>
      <c r="O36" s="41"/>
      <c r="P36" s="41"/>
      <c r="Q36" s="41"/>
      <c r="R36" s="41"/>
      <c r="S36" s="41"/>
      <c r="T36" s="41"/>
      <c r="U36" s="41"/>
      <c r="V36" s="41"/>
      <c r="W36" s="41"/>
      <c r="X36" s="41"/>
      <c r="Y36" s="41"/>
      <c r="Z36" s="41"/>
      <c r="AA36" s="41"/>
      <c r="AB36" s="41"/>
      <c r="AC36" s="41"/>
      <c r="AD36" s="41"/>
      <c r="AE36" s="41"/>
      <c r="AF36" s="41"/>
      <c r="AG36" s="41"/>
    </row>
    <row r="37" spans="1:33" ht="15" customHeight="1">
      <c r="A37" s="630"/>
      <c r="B37" s="631"/>
      <c r="C37" s="632"/>
      <c r="D37" s="597"/>
      <c r="E37" s="598"/>
      <c r="F37" s="636" t="str">
        <f>HLOOKUP(Language,Translation,264)</f>
        <v>Release of your TISAX Scope ID is mandatory, BENTELER TISAX Participant ID:</v>
      </c>
      <c r="G37" s="637"/>
      <c r="H37" s="637"/>
      <c r="I37" s="637"/>
      <c r="J37" s="591" t="s">
        <v>1376</v>
      </c>
      <c r="K37" s="592"/>
      <c r="L37" s="41"/>
      <c r="M37" s="41"/>
      <c r="N37" s="41"/>
      <c r="O37" s="41"/>
      <c r="P37" s="41"/>
      <c r="Q37" s="41"/>
      <c r="R37" s="41"/>
      <c r="S37" s="41"/>
      <c r="T37" s="41"/>
      <c r="U37" s="41"/>
      <c r="V37" s="41"/>
      <c r="W37" s="41"/>
      <c r="X37" s="41"/>
      <c r="Y37" s="41"/>
      <c r="Z37" s="41"/>
      <c r="AA37" s="41"/>
      <c r="AB37" s="41"/>
      <c r="AC37" s="41"/>
      <c r="AD37" s="41"/>
      <c r="AE37" s="41"/>
      <c r="AF37" s="41"/>
      <c r="AG37" s="41"/>
    </row>
    <row r="38" spans="1:33" ht="15" customHeight="1" thickBot="1">
      <c r="A38" s="633"/>
      <c r="B38" s="634"/>
      <c r="C38" s="635"/>
      <c r="D38" s="640"/>
      <c r="E38" s="641"/>
      <c r="F38" s="638"/>
      <c r="G38" s="639"/>
      <c r="H38" s="639"/>
      <c r="I38" s="639"/>
      <c r="J38" s="593"/>
      <c r="K38" s="594"/>
      <c r="L38" s="41"/>
      <c r="M38" s="41"/>
      <c r="N38" s="41"/>
      <c r="O38" s="41"/>
      <c r="P38" s="41"/>
      <c r="Q38" s="41"/>
      <c r="R38" s="41"/>
      <c r="S38" s="41"/>
      <c r="T38" s="41"/>
      <c r="U38" s="41"/>
      <c r="V38" s="41"/>
      <c r="W38" s="41"/>
      <c r="X38" s="41"/>
      <c r="Y38" s="41"/>
      <c r="Z38" s="41"/>
      <c r="AA38" s="41"/>
      <c r="AB38" s="41"/>
      <c r="AC38" s="41"/>
      <c r="AD38" s="41"/>
      <c r="AE38" s="41"/>
      <c r="AF38" s="41"/>
      <c r="AG38" s="41"/>
    </row>
    <row r="39" spans="1:33" ht="7.5" customHeight="1" thickBot="1">
      <c r="A39" s="51"/>
      <c r="B39" s="49"/>
      <c r="C39" s="49"/>
      <c r="D39" s="49"/>
      <c r="E39" s="49"/>
      <c r="F39" s="49"/>
      <c r="G39" s="49"/>
      <c r="H39" s="49"/>
      <c r="I39" s="49"/>
      <c r="J39" s="49"/>
      <c r="K39" s="49"/>
      <c r="L39" s="41"/>
      <c r="M39" s="41"/>
      <c r="N39" s="41"/>
      <c r="O39" s="41"/>
      <c r="P39" s="41"/>
      <c r="Q39" s="41"/>
      <c r="R39" s="41"/>
      <c r="S39" s="41"/>
      <c r="T39" s="41"/>
      <c r="U39" s="41"/>
      <c r="V39" s="41"/>
      <c r="W39" s="41"/>
      <c r="X39" s="41"/>
      <c r="Y39" s="41"/>
      <c r="Z39" s="41"/>
      <c r="AA39" s="41"/>
      <c r="AB39" s="41"/>
      <c r="AC39" s="41"/>
      <c r="AD39" s="41"/>
      <c r="AE39" s="41"/>
      <c r="AF39" s="41"/>
      <c r="AG39" s="41"/>
    </row>
    <row r="40" spans="1:33" ht="15.75" thickBot="1">
      <c r="A40" s="500" t="str">
        <f>HLOOKUP(Language,Translation,89)</f>
        <v xml:space="preserve">Customer Approvals / Audits of Facility </v>
      </c>
      <c r="B40" s="429"/>
      <c r="C40" s="429"/>
      <c r="D40" s="429"/>
      <c r="E40" s="429"/>
      <c r="F40" s="429"/>
      <c r="G40" s="429"/>
      <c r="H40" s="429"/>
      <c r="I40" s="429"/>
      <c r="J40" s="429"/>
      <c r="K40" s="430"/>
      <c r="L40" s="41"/>
      <c r="M40" s="41"/>
      <c r="N40" s="41"/>
      <c r="O40" s="41"/>
      <c r="P40" s="41"/>
      <c r="Q40" s="41"/>
      <c r="R40" s="41"/>
      <c r="S40" s="41"/>
      <c r="T40" s="41"/>
      <c r="U40" s="41"/>
      <c r="V40" s="41"/>
      <c r="W40" s="41"/>
      <c r="X40" s="41"/>
      <c r="Y40" s="41"/>
      <c r="Z40" s="41"/>
      <c r="AA40" s="41"/>
      <c r="AB40" s="41"/>
      <c r="AC40" s="41"/>
      <c r="AD40" s="41"/>
      <c r="AE40" s="41"/>
      <c r="AF40" s="41"/>
      <c r="AG40" s="41"/>
    </row>
    <row r="41" spans="1:33" ht="15">
      <c r="A41" s="622" t="str">
        <f>HLOOKUP(Language,Translation,90)</f>
        <v>Customer Name</v>
      </c>
      <c r="B41" s="623"/>
      <c r="C41" s="624" t="str">
        <f>HLOOKUP(Language,Translation,91)</f>
        <v>Standard</v>
      </c>
      <c r="D41" s="625"/>
      <c r="E41" s="625"/>
      <c r="F41" s="625"/>
      <c r="G41" s="626"/>
      <c r="H41" s="461" t="str">
        <f>HLOOKUP(Language,Translation,92)</f>
        <v>Date</v>
      </c>
      <c r="I41" s="461"/>
      <c r="J41" s="462" t="str">
        <f>HLOOKUP(Language,Translation,93)</f>
        <v>Result</v>
      </c>
      <c r="K41" s="464"/>
      <c r="L41" s="41"/>
      <c r="M41" s="41"/>
      <c r="N41" s="41"/>
      <c r="O41" s="41"/>
      <c r="P41" s="41"/>
      <c r="Q41" s="41"/>
      <c r="R41" s="41"/>
      <c r="S41" s="41"/>
      <c r="T41" s="41"/>
      <c r="U41" s="41"/>
      <c r="V41" s="41"/>
      <c r="W41" s="41"/>
      <c r="X41" s="41"/>
      <c r="Y41" s="41"/>
      <c r="Z41" s="41"/>
      <c r="AA41" s="41"/>
      <c r="AB41" s="41"/>
      <c r="AC41" s="41"/>
      <c r="AD41" s="41"/>
      <c r="AE41" s="41"/>
      <c r="AF41" s="41"/>
      <c r="AG41" s="41"/>
    </row>
    <row r="42" spans="1:33" ht="18.75" customHeight="1">
      <c r="A42" s="517"/>
      <c r="B42" s="518"/>
      <c r="C42" s="519"/>
      <c r="D42" s="520"/>
      <c r="E42" s="520"/>
      <c r="F42" s="520"/>
      <c r="G42" s="521"/>
      <c r="H42" s="522"/>
      <c r="I42" s="522"/>
      <c r="J42" s="519"/>
      <c r="K42" s="523"/>
      <c r="L42" s="41"/>
      <c r="M42" s="41"/>
      <c r="N42" s="41"/>
      <c r="O42" s="41"/>
      <c r="P42" s="41"/>
      <c r="Q42" s="41"/>
      <c r="R42" s="41"/>
      <c r="S42" s="41"/>
      <c r="T42" s="41"/>
      <c r="U42" s="41"/>
      <c r="V42" s="41"/>
      <c r="W42" s="41"/>
      <c r="X42" s="41"/>
      <c r="Y42" s="41"/>
      <c r="Z42" s="41"/>
      <c r="AA42" s="41"/>
      <c r="AB42" s="41"/>
      <c r="AC42" s="41"/>
      <c r="AD42" s="41"/>
      <c r="AE42" s="41"/>
      <c r="AF42" s="41"/>
      <c r="AG42" s="41"/>
    </row>
    <row r="43" spans="1:33" ht="18.75" customHeight="1">
      <c r="A43" s="517"/>
      <c r="B43" s="518"/>
      <c r="C43" s="519"/>
      <c r="D43" s="520"/>
      <c r="E43" s="520"/>
      <c r="F43" s="520"/>
      <c r="G43" s="521"/>
      <c r="H43" s="522"/>
      <c r="I43" s="522"/>
      <c r="J43" s="519"/>
      <c r="K43" s="523"/>
      <c r="L43" s="41"/>
      <c r="M43" s="41"/>
      <c r="N43" s="41"/>
      <c r="O43" s="41"/>
      <c r="P43" s="41"/>
      <c r="Q43" s="41"/>
      <c r="R43" s="41"/>
      <c r="S43" s="41"/>
      <c r="T43" s="41"/>
      <c r="U43" s="41"/>
      <c r="V43" s="41"/>
      <c r="W43" s="41"/>
      <c r="X43" s="41"/>
      <c r="Y43" s="41"/>
      <c r="Z43" s="41"/>
      <c r="AA43" s="41"/>
      <c r="AB43" s="41"/>
      <c r="AC43" s="41"/>
      <c r="AD43" s="41"/>
      <c r="AE43" s="41"/>
      <c r="AF43" s="41"/>
      <c r="AG43" s="41"/>
    </row>
    <row r="44" spans="1:33" ht="18.75" customHeight="1" thickBot="1">
      <c r="A44" s="524"/>
      <c r="B44" s="525"/>
      <c r="C44" s="526"/>
      <c r="D44" s="527"/>
      <c r="E44" s="527"/>
      <c r="F44" s="527"/>
      <c r="G44" s="528"/>
      <c r="H44" s="621"/>
      <c r="I44" s="621"/>
      <c r="J44" s="526"/>
      <c r="K44" s="646"/>
      <c r="L44" s="41"/>
      <c r="M44" s="41"/>
      <c r="N44" s="41"/>
      <c r="O44" s="41"/>
      <c r="P44" s="41"/>
      <c r="Q44" s="41"/>
      <c r="R44" s="41"/>
      <c r="S44" s="41"/>
      <c r="T44" s="41"/>
      <c r="U44" s="41"/>
      <c r="V44" s="41"/>
      <c r="W44" s="41"/>
      <c r="X44" s="41"/>
      <c r="Y44" s="41"/>
      <c r="Z44" s="41"/>
      <c r="AA44" s="41"/>
      <c r="AB44" s="41"/>
      <c r="AC44" s="41"/>
      <c r="AD44" s="41"/>
      <c r="AE44" s="41"/>
      <c r="AF44" s="41"/>
      <c r="AG44" s="41"/>
    </row>
    <row r="45" spans="1:33" ht="7.5" customHeight="1" thickBot="1">
      <c r="A45" s="49"/>
      <c r="B45" s="49"/>
      <c r="C45" s="49"/>
      <c r="D45" s="49"/>
      <c r="E45" s="49"/>
      <c r="F45" s="49"/>
      <c r="G45" s="49"/>
      <c r="H45" s="49"/>
      <c r="I45" s="49"/>
      <c r="J45" s="49"/>
      <c r="K45" s="49"/>
      <c r="L45" s="41"/>
      <c r="M45" s="41"/>
      <c r="N45" s="41"/>
      <c r="O45" s="41"/>
      <c r="P45" s="41"/>
      <c r="Q45" s="41"/>
      <c r="R45" s="41"/>
      <c r="S45" s="41"/>
      <c r="T45" s="41"/>
      <c r="U45" s="41"/>
      <c r="V45" s="41"/>
      <c r="W45" s="41"/>
      <c r="X45" s="41"/>
      <c r="Y45" s="41"/>
      <c r="Z45" s="41"/>
      <c r="AA45" s="41"/>
      <c r="AB45" s="41"/>
      <c r="AC45" s="41"/>
      <c r="AD45" s="41"/>
      <c r="AE45" s="41"/>
      <c r="AF45" s="41"/>
      <c r="AG45" s="41"/>
    </row>
    <row r="46" spans="1:33" ht="15.75" thickBot="1">
      <c r="A46" s="500" t="str">
        <f>HLOOKUP(Language,Translation,94)</f>
        <v>Application of Quality Management – Methods</v>
      </c>
      <c r="B46" s="429"/>
      <c r="C46" s="429"/>
      <c r="D46" s="429"/>
      <c r="E46" s="429"/>
      <c r="F46" s="429"/>
      <c r="G46" s="429"/>
      <c r="H46" s="429"/>
      <c r="I46" s="429"/>
      <c r="J46" s="429"/>
      <c r="K46" s="430"/>
      <c r="L46" s="41"/>
      <c r="M46" s="41"/>
      <c r="N46" s="41"/>
      <c r="O46" s="41"/>
      <c r="P46" s="41"/>
      <c r="Q46" s="41"/>
      <c r="R46" s="41"/>
      <c r="S46" s="41"/>
      <c r="T46" s="41"/>
      <c r="U46" s="41"/>
      <c r="V46" s="41"/>
      <c r="W46" s="41"/>
      <c r="X46" s="41"/>
      <c r="Y46" s="41"/>
      <c r="Z46" s="41"/>
      <c r="AA46" s="41"/>
      <c r="AB46" s="41"/>
      <c r="AC46" s="41"/>
      <c r="AD46" s="41"/>
      <c r="AE46" s="41"/>
      <c r="AF46" s="41"/>
      <c r="AG46" s="41"/>
    </row>
    <row r="47" spans="1:33" ht="30" customHeight="1">
      <c r="A47" s="514" t="str">
        <f>HLOOKUP(Language,Translation,95)</f>
        <v>Methods</v>
      </c>
      <c r="B47" s="515"/>
      <c r="C47" s="515"/>
      <c r="D47" s="515"/>
      <c r="E47" s="515"/>
      <c r="F47" s="515"/>
      <c r="G47" s="516"/>
      <c r="H47" s="511" t="str">
        <f>HLOOKUP(Language,Translation,96)</f>
        <v>Usage</v>
      </c>
      <c r="I47" s="512"/>
      <c r="J47" s="511" t="str">
        <f>HLOOKUP(Language,Translation,97)</f>
        <v>Applicable from (Date)</v>
      </c>
      <c r="K47" s="513"/>
      <c r="L47" s="41"/>
      <c r="M47" s="41"/>
      <c r="N47" s="41"/>
      <c r="O47" s="41"/>
      <c r="P47" s="41"/>
      <c r="Q47" s="41"/>
      <c r="R47" s="41"/>
      <c r="S47" s="41"/>
      <c r="T47" s="41"/>
      <c r="U47" s="41"/>
      <c r="V47" s="41"/>
      <c r="W47" s="41"/>
      <c r="X47" s="41"/>
      <c r="Y47" s="41"/>
      <c r="Z47" s="41"/>
      <c r="AA47" s="41"/>
      <c r="AB47" s="41"/>
      <c r="AC47" s="41"/>
      <c r="AD47" s="41"/>
      <c r="AE47" s="41"/>
      <c r="AF47" s="41"/>
      <c r="AG47" s="41"/>
    </row>
    <row r="48" spans="1:33" ht="18.75" customHeight="1">
      <c r="A48" s="618" t="str">
        <f>HLOOKUP(Language,Translation,98)</f>
        <v>Detailed Problem Solving Methodology &amp; Tools (5x Why, Ishikawa Diagram, etc.)</v>
      </c>
      <c r="B48" s="619"/>
      <c r="C48" s="619"/>
      <c r="D48" s="619"/>
      <c r="E48" s="619"/>
      <c r="F48" s="619"/>
      <c r="G48" s="620"/>
      <c r="H48" s="503" t="s">
        <v>118</v>
      </c>
      <c r="I48" s="549"/>
      <c r="J48" s="616"/>
      <c r="K48" s="617"/>
      <c r="L48" s="41"/>
      <c r="M48" s="41"/>
      <c r="N48" s="41"/>
      <c r="O48" s="41"/>
      <c r="P48" s="41"/>
      <c r="Q48" s="41"/>
      <c r="R48" s="41"/>
      <c r="S48" s="41"/>
      <c r="T48" s="41"/>
      <c r="U48" s="41"/>
      <c r="V48" s="41"/>
      <c r="W48" s="41"/>
      <c r="X48" s="41"/>
      <c r="Y48" s="41"/>
      <c r="Z48" s="41"/>
      <c r="AA48" s="41"/>
      <c r="AB48" s="41"/>
      <c r="AC48" s="41"/>
      <c r="AD48" s="41"/>
      <c r="AE48" s="41"/>
      <c r="AF48" s="41"/>
      <c r="AG48" s="41"/>
    </row>
    <row r="49" spans="1:33" ht="18.75" customHeight="1">
      <c r="A49" s="618" t="str">
        <f>HLOOKUP(Language,Translation,99)</f>
        <v xml:space="preserve">Process- and Machine capability studies </v>
      </c>
      <c r="B49" s="619"/>
      <c r="C49" s="619"/>
      <c r="D49" s="619"/>
      <c r="E49" s="619"/>
      <c r="F49" s="619"/>
      <c r="G49" s="620"/>
      <c r="H49" s="503" t="s">
        <v>118</v>
      </c>
      <c r="I49" s="549"/>
      <c r="J49" s="616"/>
      <c r="K49" s="617"/>
      <c r="L49" s="41"/>
      <c r="M49" s="41"/>
      <c r="N49" s="41"/>
      <c r="O49" s="41"/>
      <c r="P49" s="41"/>
      <c r="Q49" s="41"/>
      <c r="R49" s="41"/>
      <c r="S49" s="41"/>
      <c r="T49" s="41"/>
      <c r="U49" s="41"/>
      <c r="V49" s="41"/>
      <c r="W49" s="41"/>
      <c r="X49" s="41"/>
      <c r="Y49" s="41"/>
      <c r="Z49" s="41"/>
      <c r="AA49" s="41"/>
      <c r="AB49" s="41"/>
      <c r="AC49" s="41"/>
      <c r="AD49" s="41"/>
      <c r="AE49" s="41"/>
      <c r="AF49" s="41"/>
      <c r="AG49" s="41"/>
    </row>
    <row r="50" spans="1:33" ht="18.75" customHeight="1">
      <c r="A50" s="618" t="str">
        <f>HLOOKUP(Language,Translation,100)</f>
        <v>Product+Process approval acc. (AIAG) PPAP</v>
      </c>
      <c r="B50" s="619"/>
      <c r="C50" s="619"/>
      <c r="D50" s="619"/>
      <c r="E50" s="619"/>
      <c r="F50" s="619"/>
      <c r="G50" s="620"/>
      <c r="H50" s="503" t="s">
        <v>118</v>
      </c>
      <c r="I50" s="549"/>
      <c r="J50" s="616"/>
      <c r="K50" s="617"/>
      <c r="L50" s="41"/>
      <c r="M50" s="41"/>
      <c r="N50" s="41"/>
      <c r="O50" s="41"/>
      <c r="P50" s="41"/>
      <c r="Q50" s="41"/>
      <c r="R50" s="41"/>
      <c r="S50" s="41"/>
      <c r="T50" s="41"/>
      <c r="U50" s="41"/>
      <c r="V50" s="41"/>
      <c r="W50" s="41"/>
      <c r="X50" s="41"/>
      <c r="Y50" s="41"/>
      <c r="Z50" s="41"/>
      <c r="AA50" s="41"/>
      <c r="AB50" s="41"/>
      <c r="AC50" s="41"/>
      <c r="AD50" s="41"/>
      <c r="AE50" s="41"/>
      <c r="AF50" s="41"/>
      <c r="AG50" s="41"/>
    </row>
    <row r="51" spans="1:33" ht="18.75" customHeight="1">
      <c r="A51" s="618" t="str">
        <f>HLOOKUP(Language,Translation,101)</f>
        <v>Product+Process approval acc. (VDA) PPF</v>
      </c>
      <c r="B51" s="619"/>
      <c r="C51" s="619"/>
      <c r="D51" s="619"/>
      <c r="E51" s="619"/>
      <c r="F51" s="619"/>
      <c r="G51" s="620"/>
      <c r="H51" s="503" t="s">
        <v>118</v>
      </c>
      <c r="I51" s="549"/>
      <c r="J51" s="616"/>
      <c r="K51" s="617"/>
      <c r="L51" s="41"/>
      <c r="M51" s="41"/>
      <c r="N51" s="41"/>
      <c r="O51" s="41"/>
      <c r="P51" s="41"/>
      <c r="Q51" s="41"/>
      <c r="R51" s="41"/>
      <c r="S51" s="41"/>
      <c r="T51" s="41"/>
      <c r="U51" s="41"/>
      <c r="V51" s="41"/>
      <c r="W51" s="41"/>
      <c r="X51" s="41"/>
      <c r="Y51" s="41"/>
      <c r="Z51" s="41"/>
      <c r="AA51" s="41"/>
      <c r="AB51" s="41"/>
      <c r="AC51" s="41"/>
      <c r="AD51" s="41"/>
      <c r="AE51" s="41"/>
      <c r="AF51" s="41"/>
      <c r="AG51" s="41"/>
    </row>
    <row r="52" spans="1:33" ht="18.75" customHeight="1">
      <c r="A52" s="618" t="str">
        <f>HLOOKUP(Language,Translation,102)</f>
        <v>Advanced Product Quality Planning (AIAG) APQP / (VDA) RGA</v>
      </c>
      <c r="B52" s="619"/>
      <c r="C52" s="619"/>
      <c r="D52" s="619"/>
      <c r="E52" s="619"/>
      <c r="F52" s="619"/>
      <c r="G52" s="620"/>
      <c r="H52" s="503" t="s">
        <v>118</v>
      </c>
      <c r="I52" s="549"/>
      <c r="J52" s="616"/>
      <c r="K52" s="617"/>
      <c r="L52" s="41"/>
      <c r="M52" s="41"/>
      <c r="N52" s="41"/>
      <c r="O52" s="41"/>
      <c r="P52" s="41"/>
      <c r="Q52" s="41"/>
      <c r="R52" s="41"/>
      <c r="S52" s="41"/>
      <c r="T52" s="41"/>
      <c r="U52" s="41"/>
      <c r="V52" s="41"/>
      <c r="W52" s="41"/>
      <c r="X52" s="41"/>
      <c r="Y52" s="41"/>
      <c r="Z52" s="41"/>
      <c r="AA52" s="41"/>
      <c r="AB52" s="41"/>
      <c r="AC52" s="41"/>
      <c r="AD52" s="41"/>
      <c r="AE52" s="41"/>
      <c r="AF52" s="41"/>
      <c r="AG52" s="41"/>
    </row>
    <row r="53" spans="1:33" ht="18.75" customHeight="1">
      <c r="A53" s="618" t="str">
        <f>HLOOKUP(Language,Translation,103)</f>
        <v>Failure Mode and Effects Analysis (FMEA) • Design • Process</v>
      </c>
      <c r="B53" s="619"/>
      <c r="C53" s="619"/>
      <c r="D53" s="619"/>
      <c r="E53" s="619"/>
      <c r="F53" s="619"/>
      <c r="G53" s="620"/>
      <c r="H53" s="503" t="s">
        <v>118</v>
      </c>
      <c r="I53" s="549"/>
      <c r="J53" s="616"/>
      <c r="K53" s="617"/>
      <c r="L53" s="41"/>
      <c r="M53" s="41"/>
      <c r="N53" s="41"/>
      <c r="O53" s="41"/>
      <c r="P53" s="41"/>
      <c r="Q53" s="41"/>
      <c r="R53" s="41"/>
      <c r="S53" s="41"/>
      <c r="T53" s="41"/>
      <c r="U53" s="41"/>
      <c r="V53" s="41"/>
      <c r="W53" s="41"/>
      <c r="X53" s="41"/>
      <c r="Y53" s="41"/>
      <c r="Z53" s="41"/>
      <c r="AA53" s="41"/>
      <c r="AB53" s="41"/>
      <c r="AC53" s="41"/>
      <c r="AD53" s="41"/>
      <c r="AE53" s="41"/>
      <c r="AF53" s="41"/>
      <c r="AG53" s="41"/>
    </row>
    <row r="54" spans="1:33" ht="18.75" customHeight="1">
      <c r="A54" s="618" t="str">
        <f>HLOOKUP(Language,Translation,104)</f>
        <v>CAD</v>
      </c>
      <c r="B54" s="619"/>
      <c r="C54" s="619"/>
      <c r="D54" s="619"/>
      <c r="E54" s="619"/>
      <c r="F54" s="619"/>
      <c r="G54" s="620"/>
      <c r="H54" s="503" t="s">
        <v>118</v>
      </c>
      <c r="I54" s="549"/>
      <c r="J54" s="616"/>
      <c r="K54" s="617"/>
      <c r="L54" s="41"/>
      <c r="M54" s="41"/>
      <c r="N54" s="41"/>
      <c r="O54" s="41"/>
      <c r="P54" s="41"/>
      <c r="Q54" s="41"/>
      <c r="R54" s="41"/>
      <c r="S54" s="41"/>
      <c r="T54" s="41"/>
      <c r="U54" s="41"/>
      <c r="V54" s="41"/>
      <c r="W54" s="41"/>
      <c r="X54" s="41"/>
      <c r="Y54" s="41"/>
      <c r="Z54" s="41"/>
      <c r="AA54" s="41"/>
      <c r="AB54" s="41"/>
      <c r="AC54" s="41"/>
      <c r="AD54" s="41"/>
      <c r="AE54" s="41"/>
      <c r="AF54" s="41"/>
      <c r="AG54" s="41"/>
    </row>
    <row r="55" spans="1:33" ht="18.75" customHeight="1" thickBot="1">
      <c r="A55" s="644" t="str">
        <f>HLOOKUP(Language,Translation,105)</f>
        <v>Other methods:</v>
      </c>
      <c r="B55" s="645"/>
      <c r="C55" s="642"/>
      <c r="D55" s="642"/>
      <c r="E55" s="642"/>
      <c r="F55" s="642"/>
      <c r="G55" s="642"/>
      <c r="H55" s="642"/>
      <c r="I55" s="642"/>
      <c r="J55" s="642"/>
      <c r="K55" s="643"/>
      <c r="L55" s="41"/>
      <c r="M55" s="41"/>
      <c r="N55" s="41"/>
      <c r="O55" s="41"/>
      <c r="P55" s="41"/>
      <c r="Q55" s="41"/>
      <c r="R55" s="41"/>
      <c r="S55" s="41"/>
      <c r="T55" s="41"/>
      <c r="U55" s="41"/>
      <c r="V55" s="41"/>
      <c r="W55" s="41"/>
      <c r="X55" s="41"/>
      <c r="Y55" s="41"/>
      <c r="Z55" s="41"/>
      <c r="AA55" s="41"/>
      <c r="AB55" s="41"/>
      <c r="AC55" s="41"/>
      <c r="AD55" s="41"/>
      <c r="AE55" s="41"/>
      <c r="AF55" s="41"/>
      <c r="AG55" s="41"/>
    </row>
    <row r="56" spans="1:33" ht="7.5" customHeight="1" thickBo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row>
    <row r="57" spans="1:33" ht="15.75" thickBot="1">
      <c r="A57" s="500" t="str">
        <f>HLOOKUP(Language,Translation,295)</f>
        <v>Application of Supplier Management Plattform – SupplyOn</v>
      </c>
      <c r="B57" s="429"/>
      <c r="C57" s="429"/>
      <c r="D57" s="429"/>
      <c r="E57" s="429"/>
      <c r="F57" s="429"/>
      <c r="G57" s="429"/>
      <c r="H57" s="429"/>
      <c r="I57" s="429"/>
      <c r="J57" s="429"/>
      <c r="K57" s="430"/>
      <c r="L57" s="41"/>
      <c r="M57" s="41"/>
      <c r="N57" s="41"/>
      <c r="O57" s="41"/>
      <c r="P57" s="41"/>
      <c r="Q57" s="41"/>
      <c r="R57" s="41"/>
      <c r="S57" s="41"/>
      <c r="T57" s="41"/>
      <c r="U57" s="41"/>
      <c r="V57" s="41"/>
      <c r="W57" s="41"/>
      <c r="X57" s="41"/>
      <c r="Y57" s="41"/>
      <c r="Z57" s="41"/>
      <c r="AA57" s="41"/>
      <c r="AB57" s="41"/>
      <c r="AC57" s="41"/>
      <c r="AD57" s="41"/>
      <c r="AE57" s="41"/>
      <c r="AF57" s="41"/>
      <c r="AG57" s="41"/>
    </row>
    <row r="58" spans="1:33" ht="18.75" customHeight="1">
      <c r="A58" s="479" t="str">
        <f>HLOOKUP(Language,Translation,296)</f>
        <v>Are you registered for SupplyOn plattform and you have it in use?</v>
      </c>
      <c r="B58" s="480"/>
      <c r="C58" s="480"/>
      <c r="D58" s="480"/>
      <c r="E58" s="480"/>
      <c r="F58" s="480"/>
      <c r="G58" s="480"/>
      <c r="H58" s="480"/>
      <c r="I58" s="481"/>
      <c r="J58" s="503" t="s">
        <v>118</v>
      </c>
      <c r="K58" s="504"/>
      <c r="L58" s="41"/>
      <c r="M58" s="41"/>
      <c r="N58" s="41"/>
      <c r="O58" s="41"/>
      <c r="P58" s="41"/>
      <c r="Q58" s="41"/>
      <c r="R58" s="41"/>
      <c r="S58" s="41"/>
      <c r="T58" s="41"/>
      <c r="U58" s="41"/>
      <c r="V58" s="41"/>
      <c r="W58" s="41"/>
      <c r="X58" s="41"/>
      <c r="Y58" s="41"/>
      <c r="Z58" s="41"/>
      <c r="AA58" s="41"/>
      <c r="AB58" s="41"/>
      <c r="AC58" s="41"/>
      <c r="AD58" s="41"/>
      <c r="AE58" s="41"/>
      <c r="AF58" s="41"/>
      <c r="AG58" s="41"/>
    </row>
    <row r="59" spans="1:33" ht="18.75" customHeight="1">
      <c r="A59" s="618" t="str">
        <f>HLOOKUP(Language,Translation,297)</f>
        <v>Are you registered for Project Management Service (APQP) in SupplyOn for other customers?</v>
      </c>
      <c r="B59" s="619"/>
      <c r="C59" s="619"/>
      <c r="D59" s="619"/>
      <c r="E59" s="619"/>
      <c r="F59" s="619"/>
      <c r="G59" s="619"/>
      <c r="H59" s="619"/>
      <c r="I59" s="619"/>
      <c r="J59" s="503" t="s">
        <v>118</v>
      </c>
      <c r="K59" s="504"/>
      <c r="L59" s="41"/>
      <c r="M59" s="41"/>
      <c r="N59" s="41"/>
      <c r="O59" s="41"/>
      <c r="P59" s="41"/>
      <c r="Q59" s="41"/>
      <c r="R59" s="41"/>
      <c r="S59" s="41"/>
      <c r="T59" s="41"/>
      <c r="U59" s="41"/>
      <c r="V59" s="41"/>
      <c r="W59" s="41"/>
      <c r="X59" s="41"/>
      <c r="Y59" s="41"/>
      <c r="Z59" s="41"/>
      <c r="AA59" s="41"/>
      <c r="AB59" s="41"/>
      <c r="AC59" s="41"/>
      <c r="AD59" s="41"/>
      <c r="AE59" s="41"/>
      <c r="AF59" s="41"/>
      <c r="AG59" s="41"/>
    </row>
    <row r="60" spans="1:33" ht="18.75" customHeight="1" thickBot="1">
      <c r="A60" s="501" t="str">
        <f>HLOOKUP(Language,Translation,298)</f>
        <v>In the case of an order, we confirm that APQP will be carried out via SupplyOn-Service Project Management (ProMa).</v>
      </c>
      <c r="B60" s="502"/>
      <c r="C60" s="502"/>
      <c r="D60" s="502"/>
      <c r="E60" s="502"/>
      <c r="F60" s="502"/>
      <c r="G60" s="502"/>
      <c r="H60" s="502"/>
      <c r="I60" s="502"/>
      <c r="J60" s="505" t="s">
        <v>118</v>
      </c>
      <c r="K60" s="506"/>
      <c r="L60" s="41"/>
      <c r="M60" s="41"/>
      <c r="N60" s="41"/>
      <c r="O60" s="41"/>
      <c r="P60" s="41"/>
      <c r="Q60" s="41"/>
      <c r="R60" s="41"/>
      <c r="S60" s="41"/>
      <c r="T60" s="41"/>
      <c r="U60" s="41"/>
      <c r="V60" s="41"/>
      <c r="W60" s="41"/>
      <c r="X60" s="41"/>
      <c r="Y60" s="41"/>
      <c r="Z60" s="41"/>
      <c r="AA60" s="41"/>
      <c r="AB60" s="41"/>
      <c r="AC60" s="41"/>
      <c r="AD60" s="41"/>
      <c r="AE60" s="41"/>
      <c r="AF60" s="41"/>
      <c r="AG60" s="41"/>
    </row>
    <row r="61" spans="1:33">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row>
    <row r="62" spans="1:33">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row>
    <row r="63" spans="1:33">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row>
    <row r="64" spans="1:33">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row>
    <row r="65" spans="1:33">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row>
    <row r="66" spans="1:33">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row>
    <row r="67" spans="1:33">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row>
    <row r="68" spans="1:33">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row>
    <row r="69" spans="1:33">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row>
    <row r="70" spans="1:33">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row>
    <row r="71" spans="1:33">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row>
    <row r="72" spans="1:33">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row>
    <row r="73" spans="1:33">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row>
    <row r="74" spans="1:33">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row>
    <row r="75" spans="1:33">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row>
    <row r="76" spans="1:33">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row>
    <row r="77" spans="1:33">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row>
    <row r="78" spans="1:33">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row>
    <row r="79" spans="1:33">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row>
    <row r="80" spans="1:33">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row>
    <row r="81" spans="1:33">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row>
    <row r="82" spans="1:33">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row>
    <row r="83" spans="1:33">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row>
    <row r="84" spans="1:33">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row>
    <row r="85" spans="1:33">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row>
    <row r="86" spans="1:33">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row>
    <row r="87" spans="1:33">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row>
    <row r="88" spans="1:33">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row>
    <row r="89" spans="1:33">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row>
    <row r="90" spans="1:33">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row>
    <row r="91" spans="1:33">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row>
    <row r="92" spans="1:33">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row>
    <row r="93" spans="1:33">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row>
    <row r="94" spans="1:33">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row>
    <row r="95" spans="1:33">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row>
    <row r="96" spans="1:33">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row>
    <row r="97" spans="1:33">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row>
    <row r="98" spans="1:33">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row>
    <row r="99" spans="1:33">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row>
    <row r="100" spans="1:33">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row>
    <row r="101" spans="1:33">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row>
    <row r="102" spans="1:33">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row>
    <row r="103" spans="1:33">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row>
    <row r="104" spans="1:33">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row>
    <row r="105" spans="1:33">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row>
    <row r="106" spans="1:33">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row>
    <row r="107" spans="1:33">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row>
    <row r="108" spans="1:33">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row>
    <row r="109" spans="1:33">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row>
    <row r="110" spans="1:33">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row>
    <row r="111" spans="1:33">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row>
    <row r="112" spans="1:33">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row>
    <row r="113" spans="1:33">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row>
    <row r="114" spans="1:33">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row>
    <row r="115" spans="1:33">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row>
    <row r="116" spans="1:33">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row>
    <row r="117" spans="1:33">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row>
    <row r="118" spans="1:33">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row>
    <row r="119" spans="1:33">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row>
    <row r="120" spans="1:33">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3">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3">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3">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row r="124" spans="1:33">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row>
    <row r="125" spans="1:33">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row>
    <row r="126" spans="1:33">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row>
    <row r="127" spans="1:33">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row>
    <row r="128" spans="1:33">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row>
    <row r="129" spans="1:33">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row>
    <row r="130" spans="1:33">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row>
    <row r="131" spans="1:33">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row>
    <row r="132" spans="1:33">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row>
    <row r="133" spans="1:33">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row>
    <row r="134" spans="1:33">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row>
    <row r="135" spans="1:33">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row>
    <row r="136" spans="1:33">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row>
    <row r="137" spans="1:33">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row>
    <row r="138" spans="1:33">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row>
    <row r="139" spans="1:33">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row>
    <row r="140" spans="1:33">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row>
    <row r="141" spans="1:33">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row>
    <row r="142" spans="1:33">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row>
    <row r="143" spans="1:33">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row>
    <row r="144" spans="1:33">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row>
    <row r="145" spans="1:33">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row>
    <row r="146" spans="1:33">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row>
    <row r="147" spans="1:33">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row>
    <row r="148" spans="1:33">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row>
    <row r="149" spans="1:33">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row>
    <row r="150" spans="1:33">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row>
    <row r="151" spans="1:33">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row>
    <row r="152" spans="1:33">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row>
    <row r="153" spans="1:33">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row>
    <row r="154" spans="1:33">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row>
    <row r="155" spans="1:33">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row>
    <row r="156" spans="1:33">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row>
    <row r="157" spans="1:33">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row>
    <row r="158" spans="1:33">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row>
    <row r="159" spans="1:33">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row>
    <row r="160" spans="1:33">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row>
    <row r="161" spans="1:33">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row>
    <row r="162" spans="1:33">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row>
    <row r="163" spans="1:33">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row>
    <row r="164" spans="1:33">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row>
    <row r="165" spans="1:33">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row>
    <row r="166" spans="1:33">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row>
    <row r="167" spans="1:33">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row>
    <row r="168" spans="1:33">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row>
    <row r="169" spans="1:33">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row>
    <row r="170" spans="1:33">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row>
    <row r="171" spans="1:33">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row>
    <row r="172" spans="1:33">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row>
    <row r="173" spans="1:33">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row>
    <row r="174" spans="1:33">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row>
    <row r="175" spans="1:33">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row>
    <row r="176" spans="1:33">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row>
    <row r="177" spans="1:33">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row>
    <row r="178" spans="1:33">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row>
    <row r="179" spans="1:33">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row>
    <row r="180" spans="1:33">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row>
    <row r="181" spans="1:33">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row>
    <row r="182" spans="1:33">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row>
    <row r="183" spans="1:33">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row>
    <row r="184" spans="1:33">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row>
    <row r="185" spans="1:33">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row>
    <row r="186" spans="1:33">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row>
    <row r="187" spans="1:33">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row>
    <row r="188" spans="1:33">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row>
    <row r="189" spans="1:33">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row>
    <row r="190" spans="1:33">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row>
    <row r="191" spans="1:33">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row>
    <row r="192" spans="1:33">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row>
    <row r="193" spans="1:33">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row>
    <row r="194" spans="1:33">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row>
    <row r="195" spans="1:33">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row>
    <row r="196" spans="1:33">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row>
    <row r="197" spans="1:33">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row>
    <row r="198" spans="1:33">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row>
    <row r="199" spans="1:33">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row>
    <row r="200" spans="1:33">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row>
    <row r="201" spans="1:33">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row>
    <row r="202" spans="1:33">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row>
    <row r="203" spans="1:33">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row>
    <row r="204" spans="1:33">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row>
    <row r="205" spans="1:33">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row>
    <row r="206" spans="1:33">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row>
    <row r="207" spans="1:33">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row>
    <row r="208" spans="1:33">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row>
    <row r="209" spans="1:33">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row>
    <row r="210" spans="1:33">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row>
    <row r="211" spans="1:33">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row>
    <row r="212" spans="1:33">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row>
    <row r="213" spans="1:33">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row>
    <row r="214" spans="1:33">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row>
    <row r="215" spans="1:33">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row>
    <row r="216" spans="1:33">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row>
    <row r="217" spans="1:33">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row>
    <row r="218" spans="1:33">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row>
    <row r="219" spans="1:33">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row>
    <row r="220" spans="1:33">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row>
    <row r="221" spans="1:33">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row>
    <row r="222" spans="1:33">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row>
    <row r="223" spans="1:33">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row>
    <row r="224" spans="1:33">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row>
    <row r="225" spans="1:33">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row>
    <row r="226" spans="1:33">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row>
    <row r="227" spans="1:33">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row>
    <row r="228" spans="1:33">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row>
    <row r="229" spans="1:33">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row>
    <row r="230" spans="1:33">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row>
    <row r="231" spans="1:33">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row>
    <row r="232" spans="1:33">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row>
    <row r="233" spans="1:33">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row>
    <row r="234" spans="1:33">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row>
    <row r="235" spans="1:33">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row>
    <row r="236" spans="1:33">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row>
    <row r="237" spans="1:33">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row>
    <row r="238" spans="1:33">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row>
    <row r="239" spans="1:33">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row>
    <row r="240" spans="1:33">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row>
    <row r="241" spans="1:33">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row>
    <row r="242" spans="1:33">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row>
    <row r="243" spans="1:33">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row>
    <row r="244" spans="1:33">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row>
    <row r="245" spans="1:33">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row>
    <row r="246" spans="1:33">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row>
    <row r="247" spans="1:33">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row>
    <row r="248" spans="1:33">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row>
    <row r="249" spans="1:33">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row>
    <row r="250" spans="1:33">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row>
    <row r="251" spans="1:33">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row>
    <row r="252" spans="1:33">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row>
    <row r="253" spans="1:33">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row>
    <row r="254" spans="1:33">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row>
    <row r="255" spans="1:33">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row>
    <row r="256" spans="1:33">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row>
    <row r="257" spans="1:33">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row>
    <row r="258" spans="1:33">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row>
    <row r="259" spans="1:33">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row>
    <row r="260" spans="1:33">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row>
    <row r="261" spans="1:33">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row>
    <row r="262" spans="1:33">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row>
    <row r="263" spans="1:33">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row>
    <row r="264" spans="1:33">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row>
    <row r="265" spans="1:33">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row>
    <row r="266" spans="1:33">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row>
    <row r="267" spans="1:33">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row>
    <row r="268" spans="1:33">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row>
    <row r="269" spans="1:33">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row>
    <row r="270" spans="1:33">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row>
    <row r="271" spans="1:33">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row>
    <row r="272" spans="1:33">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row>
  </sheetData>
  <sheetProtection algorithmName="SHA-512" hashValue="hYMn5FcaKprsrq6Fk6vSYBr9QYxf0JencZ8lGW/DcKngACE0EeQMr49OldoyBcRJ8YTuKgA/wU1eWA/eGV8kAg==" saltValue="77GZnYtVEQZNUgfu1vytsQ==" spinCount="100000" sheet="1" selectLockedCells="1"/>
  <mergeCells count="156">
    <mergeCell ref="A59:I59"/>
    <mergeCell ref="J59:K59"/>
    <mergeCell ref="J51:K51"/>
    <mergeCell ref="H50:I50"/>
    <mergeCell ref="J34:K34"/>
    <mergeCell ref="F29:G29"/>
    <mergeCell ref="D38:E38"/>
    <mergeCell ref="H35:I35"/>
    <mergeCell ref="J35:K35"/>
    <mergeCell ref="C55:K55"/>
    <mergeCell ref="A55:B55"/>
    <mergeCell ref="H53:I53"/>
    <mergeCell ref="J53:K53"/>
    <mergeCell ref="H52:I52"/>
    <mergeCell ref="J52:K52"/>
    <mergeCell ref="A52:G52"/>
    <mergeCell ref="A53:G53"/>
    <mergeCell ref="H54:I54"/>
    <mergeCell ref="J54:K54"/>
    <mergeCell ref="A54:G54"/>
    <mergeCell ref="J44:K44"/>
    <mergeCell ref="H49:I49"/>
    <mergeCell ref="J49:K49"/>
    <mergeCell ref="H48:I48"/>
    <mergeCell ref="J48:K48"/>
    <mergeCell ref="A48:G48"/>
    <mergeCell ref="A49:G49"/>
    <mergeCell ref="H51:I51"/>
    <mergeCell ref="H31:I31"/>
    <mergeCell ref="J31:K31"/>
    <mergeCell ref="J50:K50"/>
    <mergeCell ref="A50:G50"/>
    <mergeCell ref="A51:G51"/>
    <mergeCell ref="H44:I44"/>
    <mergeCell ref="A41:B41"/>
    <mergeCell ref="C41:G41"/>
    <mergeCell ref="F32:G32"/>
    <mergeCell ref="D32:E32"/>
    <mergeCell ref="D33:E33"/>
    <mergeCell ref="D34:E34"/>
    <mergeCell ref="F33:G33"/>
    <mergeCell ref="A31:C31"/>
    <mergeCell ref="D31:E31"/>
    <mergeCell ref="A40:K40"/>
    <mergeCell ref="H32:I32"/>
    <mergeCell ref="J32:K32"/>
    <mergeCell ref="A36:C38"/>
    <mergeCell ref="F37:I38"/>
    <mergeCell ref="J37:K38"/>
    <mergeCell ref="D36:E37"/>
    <mergeCell ref="A8:K8"/>
    <mergeCell ref="A24:B24"/>
    <mergeCell ref="E24:F24"/>
    <mergeCell ref="A10:K10"/>
    <mergeCell ref="A35:C35"/>
    <mergeCell ref="D35:E35"/>
    <mergeCell ref="F35:G35"/>
    <mergeCell ref="B21:K21"/>
    <mergeCell ref="D28:E28"/>
    <mergeCell ref="I14:K14"/>
    <mergeCell ref="E14:F14"/>
    <mergeCell ref="A15:B15"/>
    <mergeCell ref="G15:H15"/>
    <mergeCell ref="C15:D15"/>
    <mergeCell ref="E15:F15"/>
    <mergeCell ref="I15:K15"/>
    <mergeCell ref="A17:C17"/>
    <mergeCell ref="C14:D14"/>
    <mergeCell ref="G14:H14"/>
    <mergeCell ref="A14:B14"/>
    <mergeCell ref="A19:C19"/>
    <mergeCell ref="D19:K19"/>
    <mergeCell ref="A28:C28"/>
    <mergeCell ref="F28:G28"/>
    <mergeCell ref="J1:K1"/>
    <mergeCell ref="A1:I1"/>
    <mergeCell ref="B3:K3"/>
    <mergeCell ref="A4:C4"/>
    <mergeCell ref="A5:C5"/>
    <mergeCell ref="A6:C6"/>
    <mergeCell ref="A7:C7"/>
    <mergeCell ref="D5:E5"/>
    <mergeCell ref="D6:E6"/>
    <mergeCell ref="D7:E7"/>
    <mergeCell ref="D4:E4"/>
    <mergeCell ref="I5:J5"/>
    <mergeCell ref="I6:J6"/>
    <mergeCell ref="I7:J7"/>
    <mergeCell ref="F4:H4"/>
    <mergeCell ref="F5:H5"/>
    <mergeCell ref="F6:H6"/>
    <mergeCell ref="F7:H7"/>
    <mergeCell ref="I4:J4"/>
    <mergeCell ref="A11:K11"/>
    <mergeCell ref="E23:F23"/>
    <mergeCell ref="A23:B23"/>
    <mergeCell ref="G23:K23"/>
    <mergeCell ref="C12:D12"/>
    <mergeCell ref="A12:B12"/>
    <mergeCell ref="E13:F13"/>
    <mergeCell ref="G13:H13"/>
    <mergeCell ref="E12:F12"/>
    <mergeCell ref="G12:H12"/>
    <mergeCell ref="A13:B13"/>
    <mergeCell ref="C13:D13"/>
    <mergeCell ref="D17:K17"/>
    <mergeCell ref="I12:K12"/>
    <mergeCell ref="I13:K13"/>
    <mergeCell ref="G24:K24"/>
    <mergeCell ref="A22:B22"/>
    <mergeCell ref="C22:K22"/>
    <mergeCell ref="C23:D23"/>
    <mergeCell ref="C24:D24"/>
    <mergeCell ref="H28:I28"/>
    <mergeCell ref="J28:K28"/>
    <mergeCell ref="F34:G34"/>
    <mergeCell ref="H34:I34"/>
    <mergeCell ref="H29:I29"/>
    <mergeCell ref="J29:K29"/>
    <mergeCell ref="F30:G30"/>
    <mergeCell ref="H30:I30"/>
    <mergeCell ref="J30:K30"/>
    <mergeCell ref="H33:I33"/>
    <mergeCell ref="J33:K33"/>
    <mergeCell ref="F31:G31"/>
    <mergeCell ref="A29:C29"/>
    <mergeCell ref="A30:C30"/>
    <mergeCell ref="A32:C32"/>
    <mergeCell ref="A33:C33"/>
    <mergeCell ref="A34:C34"/>
    <mergeCell ref="D29:E29"/>
    <mergeCell ref="D30:E30"/>
    <mergeCell ref="A57:K57"/>
    <mergeCell ref="A58:I58"/>
    <mergeCell ref="A60:I60"/>
    <mergeCell ref="J58:K58"/>
    <mergeCell ref="J60:K60"/>
    <mergeCell ref="F36:G36"/>
    <mergeCell ref="H36:I36"/>
    <mergeCell ref="J36:K36"/>
    <mergeCell ref="H47:I47"/>
    <mergeCell ref="J47:K47"/>
    <mergeCell ref="A47:G47"/>
    <mergeCell ref="H41:I41"/>
    <mergeCell ref="J41:K41"/>
    <mergeCell ref="A42:B42"/>
    <mergeCell ref="C42:G42"/>
    <mergeCell ref="H42:I42"/>
    <mergeCell ref="J42:K42"/>
    <mergeCell ref="A46:K46"/>
    <mergeCell ref="A43:B43"/>
    <mergeCell ref="C43:G43"/>
    <mergeCell ref="H43:I43"/>
    <mergeCell ref="J43:K43"/>
    <mergeCell ref="A44:B44"/>
    <mergeCell ref="C44:G44"/>
  </mergeCells>
  <phoneticPr fontId="6" type="noConversion"/>
  <conditionalFormatting sqref="J29:K36 J37">
    <cfRule type="notContainsBlanks" dxfId="266" priority="12">
      <formula>LEN(TRIM(J29))&gt;0</formula>
    </cfRule>
  </conditionalFormatting>
  <conditionalFormatting sqref="F6">
    <cfRule type="notContainsBlanks" dxfId="265" priority="79">
      <formula>LEN(TRIM(F6))&gt;0</formula>
    </cfRule>
  </conditionalFormatting>
  <conditionalFormatting sqref="H29:I31 H33:I36">
    <cfRule type="cellIs" dxfId="264" priority="240" operator="notBetween">
      <formula>TODAY()</formula>
      <formula>DATE(YEAR(TODAY())+3,MONTH(TODAY()),DAY(TODAY()-1))</formula>
    </cfRule>
  </conditionalFormatting>
  <conditionalFormatting sqref="H32:I32">
    <cfRule type="cellIs" dxfId="263" priority="98" operator="notBetween">
      <formula>TODAY()</formula>
      <formula>DATE(YEAR(TODAY())+5,MONTH(TODAY()),DAY(TODAY()-1))</formula>
    </cfRule>
  </conditionalFormatting>
  <conditionalFormatting sqref="A42:K42">
    <cfRule type="containsBlanks" dxfId="262" priority="87">
      <formula>LEN(TRIM(A42))=0</formula>
    </cfRule>
  </conditionalFormatting>
  <conditionalFormatting sqref="F5:H5">
    <cfRule type="notContainsBlanks" dxfId="261" priority="80">
      <formula>LEN(TRIM(F5))&gt;0</formula>
    </cfRule>
  </conditionalFormatting>
  <conditionalFormatting sqref="F7:H7">
    <cfRule type="notContainsBlanks" dxfId="260" priority="77">
      <formula>LEN(TRIM(F7))&gt;0</formula>
    </cfRule>
  </conditionalFormatting>
  <conditionalFormatting sqref="E24:K24">
    <cfRule type="notContainsBlanks" dxfId="259" priority="88">
      <formula>LEN(TRIM(E24))&gt;0</formula>
    </cfRule>
  </conditionalFormatting>
  <conditionalFormatting sqref="A13:K13">
    <cfRule type="containsBlanks" dxfId="258" priority="74">
      <formula>LEN(TRIM(A13))=0</formula>
    </cfRule>
  </conditionalFormatting>
  <conditionalFormatting sqref="F29:G36 F37">
    <cfRule type="notContainsBlanks" dxfId="257" priority="11">
      <formula>LEN(TRIM(F29))&gt;0</formula>
    </cfRule>
  </conditionalFormatting>
  <conditionalFormatting sqref="C55:K55">
    <cfRule type="notContainsBlanks" dxfId="256" priority="26">
      <formula>LEN(TRIM(C55))&gt;0</formula>
    </cfRule>
  </conditionalFormatting>
  <conditionalFormatting sqref="J36:K36 J37">
    <cfRule type="notContainsBlanks" dxfId="255" priority="241">
      <formula>LEN(TRIM(J36))&gt;0</formula>
    </cfRule>
  </conditionalFormatting>
  <conditionalFormatting sqref="F36:G36 F37">
    <cfRule type="notContainsBlanks" dxfId="254" priority="17">
      <formula>LEN(TRIM(F36))&gt;0</formula>
    </cfRule>
  </conditionalFormatting>
  <dataValidations count="7">
    <dataValidation type="list" allowBlank="1" showInputMessage="1" showErrorMessage="1" sqref="D5:E7 C24:D24 D29:E35 J58:K60" xr:uid="{EC82A2BA-715A-4FF9-98AA-3FC6D198B092}">
      <formula1>Selection</formula1>
    </dataValidation>
    <dataValidation type="list" allowBlank="1" showInputMessage="1" showErrorMessage="1" sqref="H48:I54" xr:uid="{5D29B3AD-F7BA-4E5F-B04D-DC069255CC31}">
      <formula1>Usage</formula1>
    </dataValidation>
    <dataValidation type="list" allowBlank="1" showInputMessage="1" showErrorMessage="1" sqref="D19:K19" xr:uid="{4FFB2436-5A80-48A0-9DAA-8597CE73047D}">
      <formula1>Incoterms</formula1>
    </dataValidation>
    <dataValidation type="list" allowBlank="1" showInputMessage="1" showErrorMessage="1" sqref="D17:K17" xr:uid="{D915C726-8051-425D-BC4D-39B0A5B2D03A}">
      <formula1>Currency</formula1>
    </dataValidation>
    <dataValidation operator="lessThanOrEqual" allowBlank="1" showInputMessage="1" showErrorMessage="1" sqref="I5:J7" xr:uid="{F9B372F3-7FB5-49A4-ACFF-96EA725D7CD0}"/>
    <dataValidation type="list" allowBlank="1" showInputMessage="1" showErrorMessage="1" sqref="D36" xr:uid="{479E6324-724C-47A4-ADFF-DFA70720AFCC}">
      <formula1>CyberSecurity</formula1>
    </dataValidation>
    <dataValidation type="list" allowBlank="1" showInputMessage="1" showErrorMessage="1" sqref="K5:K7" xr:uid="{4649F6A5-BE34-4C28-8859-F465D11CDEA9}">
      <formula1>CurrencyShort</formula1>
    </dataValidation>
  </dataValidations>
  <printOptions horizontalCentered="1"/>
  <pageMargins left="0.59055118110236227" right="0.55118110236220474" top="0.43307086614173229" bottom="0.59055118110236227" header="0.23622047244094491" footer="0.15748031496062992"/>
  <pageSetup scale="71" firstPageNumber="2" orientation="portrait" r:id="rId1"/>
  <headerFooter alignWithMargins="0">
    <oddFooter>&amp;L&amp;6T.PU.005 Supplier Self Assessment and Approval Form / V3.3 / T.Schneider / 14.03.2024&amp;C&amp;1#&amp;8&amp;KA6A6A6restricted&amp;R&amp;6&amp;A   &amp;P/&amp;N</oddFooter>
  </headerFooter>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54" id="{F05F0D36-F3EF-4AE3-8E67-91897D8876AE}">
            <xm:f>AND($D$32='Language table'!$C$4,$H$32="")</xm:f>
            <x14:dxf>
              <fill>
                <patternFill>
                  <bgColor theme="0" tint="-0.14996795556505021"/>
                </patternFill>
              </fill>
            </x14:dxf>
          </x14:cfRule>
          <x14:cfRule type="expression" priority="60" id="{AAFAF579-5F51-4578-B7F9-065233B386F5}">
            <xm:f>OR($D$32='Language table'!$D$4,$D$32='Language table'!$B$4)</xm:f>
            <x14:dxf>
              <fill>
                <patternFill patternType="none">
                  <bgColor auto="1"/>
                </patternFill>
              </fill>
            </x14:dxf>
          </x14:cfRule>
          <xm:sqref>H32:I32</xm:sqref>
        </x14:conditionalFormatting>
        <x14:conditionalFormatting xmlns:xm="http://schemas.microsoft.com/office/excel/2006/main">
          <x14:cfRule type="expression" priority="100" id="{944004F7-B15A-40BA-91EB-C757E9140FAF}">
            <xm:f>$D$6='Language table'!$D$4</xm:f>
            <x14:dxf>
              <fill>
                <patternFill>
                  <bgColor theme="0" tint="-0.14996795556505021"/>
                </patternFill>
              </fill>
            </x14:dxf>
          </x14:cfRule>
          <xm:sqref>F6</xm:sqref>
        </x14:conditionalFormatting>
        <x14:conditionalFormatting xmlns:xm="http://schemas.microsoft.com/office/excel/2006/main">
          <x14:cfRule type="expression" priority="95" id="{00000000-000E-0000-0200-00000E000000}">
            <xm:f>$D$5='Language table'!$D$4</xm:f>
            <x14:dxf>
              <fill>
                <patternFill>
                  <bgColor theme="0" tint="-0.14996795556505021"/>
                </patternFill>
              </fill>
            </x14:dxf>
          </x14:cfRule>
          <xm:sqref>F5</xm:sqref>
        </x14:conditionalFormatting>
        <x14:conditionalFormatting xmlns:xm="http://schemas.microsoft.com/office/excel/2006/main">
          <x14:cfRule type="expression" priority="81" id="{00000000-000E-0000-0200-000001000000}">
            <xm:f>OR(VC='Language table'!$E$3,VC='Language table'!$F$3)</xm:f>
            <x14:dxf>
              <font>
                <color theme="0"/>
              </font>
              <fill>
                <patternFill>
                  <bgColor theme="0"/>
                </patternFill>
              </fill>
              <border>
                <left/>
                <right/>
                <top/>
                <bottom/>
                <vertical/>
                <horizontal/>
              </border>
            </x14:dxf>
          </x14:cfRule>
          <xm:sqref>A40:K44 A46:K55</xm:sqref>
        </x14:conditionalFormatting>
        <x14:conditionalFormatting xmlns:xm="http://schemas.microsoft.com/office/excel/2006/main">
          <x14:cfRule type="cellIs" priority="101" operator="equal" id="{89135EBB-70F1-4948-8F07-5330301CD5B2}">
            <xm:f>'Language table'!$B$3</xm:f>
            <x14:dxf>
              <fill>
                <patternFill>
                  <bgColor theme="0" tint="-0.14996795556505021"/>
                </patternFill>
              </fill>
            </x14:dxf>
          </x14:cfRule>
          <xm:sqref>D5:E7</xm:sqref>
        </x14:conditionalFormatting>
        <x14:conditionalFormatting xmlns:xm="http://schemas.microsoft.com/office/excel/2006/main">
          <x14:cfRule type="cellIs" priority="92" operator="equal" id="{5E3324AE-B0A3-4E33-9157-30873D6459F9}">
            <xm:f>'Language table'!$B$3</xm:f>
            <x14:dxf>
              <fill>
                <patternFill>
                  <bgColor theme="0" tint="-0.14996795556505021"/>
                </patternFill>
              </fill>
            </x14:dxf>
          </x14:cfRule>
          <xm:sqref>C24:D24</xm:sqref>
        </x14:conditionalFormatting>
        <x14:conditionalFormatting xmlns:xm="http://schemas.microsoft.com/office/excel/2006/main">
          <x14:cfRule type="cellIs" priority="91" operator="equal" id="{588EF23A-FB96-462C-A5D5-BFE8B1D2AD87}">
            <xm:f>'Language table'!$B$3</xm:f>
            <x14:dxf>
              <fill>
                <patternFill>
                  <bgColor theme="0" tint="-0.14996795556505021"/>
                </patternFill>
              </fill>
            </x14:dxf>
          </x14:cfRule>
          <xm:sqref>K5:K7 D17 D29:E35</xm:sqref>
        </x14:conditionalFormatting>
        <x14:conditionalFormatting xmlns:xm="http://schemas.microsoft.com/office/excel/2006/main">
          <x14:cfRule type="cellIs" priority="90" operator="equal" id="{2B788267-6DC1-4593-B459-E83752D5B2F3}">
            <xm:f>'Language table'!$B$3</xm:f>
            <x14:dxf>
              <fill>
                <patternFill>
                  <bgColor theme="0" tint="-0.14996795556505021"/>
                </patternFill>
              </fill>
            </x14:dxf>
          </x14:cfRule>
          <xm:sqref>H48:I54</xm:sqref>
        </x14:conditionalFormatting>
        <x14:conditionalFormatting xmlns:xm="http://schemas.microsoft.com/office/excel/2006/main">
          <x14:cfRule type="cellIs" priority="86" operator="equal" id="{402D0E40-348D-477B-807D-C814F32470C9}">
            <xm:f>'Language table'!$B$3</xm:f>
            <x14:dxf>
              <fill>
                <patternFill>
                  <bgColor theme="0" tint="-0.14996795556505021"/>
                </patternFill>
              </fill>
            </x14:dxf>
          </x14:cfRule>
          <xm:sqref>D19</xm:sqref>
        </x14:conditionalFormatting>
        <x14:conditionalFormatting xmlns:xm="http://schemas.microsoft.com/office/excel/2006/main">
          <x14:cfRule type="expression" priority="78" id="{07F1AD35-04EA-422F-A676-B59D241A361D}">
            <xm:f>$D$7='Language table'!$D$4</xm:f>
            <x14:dxf>
              <fill>
                <patternFill>
                  <bgColor theme="0" tint="-0.14996795556505021"/>
                </patternFill>
              </fill>
            </x14:dxf>
          </x14:cfRule>
          <xm:sqref>F7:H7</xm:sqref>
        </x14:conditionalFormatting>
        <x14:conditionalFormatting xmlns:xm="http://schemas.microsoft.com/office/excel/2006/main">
          <x14:cfRule type="expression" priority="102" id="{9C8B2064-666B-4D99-90CA-01F31151D38F}">
            <xm:f>$C$24='Language table'!$C$4</xm:f>
            <x14:dxf>
              <fill>
                <patternFill>
                  <bgColor theme="0" tint="-0.14996795556505021"/>
                </patternFill>
              </fill>
            </x14:dxf>
          </x14:cfRule>
          <xm:sqref>E24:K24</xm:sqref>
        </x14:conditionalFormatting>
        <x14:conditionalFormatting xmlns:xm="http://schemas.microsoft.com/office/excel/2006/main">
          <x14:cfRule type="expression" priority="73" id="{6CA09AFC-02AC-4093-9DE1-493B249C72DE}">
            <xm:f>$D$29='Language table'!$D$4</xm:f>
            <x14:dxf>
              <fill>
                <patternFill>
                  <bgColor theme="0" tint="-0.14996795556505021"/>
                </patternFill>
              </fill>
            </x14:dxf>
          </x14:cfRule>
          <xm:sqref>F29:G29</xm:sqref>
        </x14:conditionalFormatting>
        <x14:conditionalFormatting xmlns:xm="http://schemas.microsoft.com/office/excel/2006/main">
          <x14:cfRule type="expression" priority="72" id="{F8117153-9613-4635-97D8-D4F6FE2CBAB4}">
            <xm:f>$D$30='Language table'!$D$4</xm:f>
            <x14:dxf>
              <fill>
                <patternFill>
                  <bgColor theme="0" tint="-0.14996795556505021"/>
                </patternFill>
              </fill>
            </x14:dxf>
          </x14:cfRule>
          <xm:sqref>F30:G30</xm:sqref>
        </x14:conditionalFormatting>
        <x14:conditionalFormatting xmlns:xm="http://schemas.microsoft.com/office/excel/2006/main">
          <x14:cfRule type="expression" priority="71" id="{9066DD8E-E20B-47E9-BBD5-DADFB4A960B3}">
            <xm:f>$D$31='Language table'!$D$4</xm:f>
            <x14:dxf>
              <fill>
                <patternFill>
                  <bgColor theme="0" tint="-0.14996795556505021"/>
                </patternFill>
              </fill>
            </x14:dxf>
          </x14:cfRule>
          <xm:sqref>F31:G31</xm:sqref>
        </x14:conditionalFormatting>
        <x14:conditionalFormatting xmlns:xm="http://schemas.microsoft.com/office/excel/2006/main">
          <x14:cfRule type="expression" priority="70" id="{B6F03730-DB46-487B-8F36-09FACDFF76BD}">
            <xm:f>$D$32='Language table'!$D$4</xm:f>
            <x14:dxf>
              <fill>
                <patternFill>
                  <bgColor theme="0" tint="-0.14996795556505021"/>
                </patternFill>
              </fill>
            </x14:dxf>
          </x14:cfRule>
          <xm:sqref>F32:G32</xm:sqref>
        </x14:conditionalFormatting>
        <x14:conditionalFormatting xmlns:xm="http://schemas.microsoft.com/office/excel/2006/main">
          <x14:cfRule type="expression" priority="69" id="{81DB0D47-A1DD-4512-A805-2AC48F5FD568}">
            <xm:f>$D$33='Language table'!$D$4</xm:f>
            <x14:dxf>
              <fill>
                <patternFill>
                  <bgColor theme="0" tint="-0.14996795556505021"/>
                </patternFill>
              </fill>
            </x14:dxf>
          </x14:cfRule>
          <xm:sqref>F33:G33</xm:sqref>
        </x14:conditionalFormatting>
        <x14:conditionalFormatting xmlns:xm="http://schemas.microsoft.com/office/excel/2006/main">
          <x14:cfRule type="expression" priority="68" id="{096F8327-F58C-4625-AC88-5F684004C8F4}">
            <xm:f>$D$34='Language table'!$D$4</xm:f>
            <x14:dxf>
              <fill>
                <patternFill>
                  <bgColor theme="0" tint="-0.14996795556505021"/>
                </patternFill>
              </fill>
            </x14:dxf>
          </x14:cfRule>
          <xm:sqref>F34:G34</xm:sqref>
        </x14:conditionalFormatting>
        <x14:conditionalFormatting xmlns:xm="http://schemas.microsoft.com/office/excel/2006/main">
          <x14:cfRule type="expression" priority="63" id="{4539BA40-D2CF-4E9B-9B2A-0D4BEF200A76}">
            <xm:f>AND($D$29='Language table'!$C$4,$H$29="")</xm:f>
            <x14:dxf>
              <fill>
                <patternFill>
                  <bgColor theme="0" tint="-0.14996795556505021"/>
                </patternFill>
              </fill>
            </x14:dxf>
          </x14:cfRule>
          <x14:cfRule type="expression" priority="65" id="{1B421FBA-9CA5-45C7-8732-D1A779A98882}">
            <xm:f>OR($D$29='Language table'!$D$4,$D$29='Language table'!$B$4)</xm:f>
            <x14:dxf>
              <fill>
                <patternFill>
                  <bgColor theme="0"/>
                </patternFill>
              </fill>
            </x14:dxf>
          </x14:cfRule>
          <xm:sqref>H29:I29</xm:sqref>
        </x14:conditionalFormatting>
        <x14:conditionalFormatting xmlns:xm="http://schemas.microsoft.com/office/excel/2006/main">
          <x14:cfRule type="expression" priority="56" id="{27CE2749-D7FF-4DCC-9BAD-2EF242EE31A9}">
            <xm:f>AND($D$30='Language table'!$C$4,$H$30="")</xm:f>
            <x14:dxf>
              <fill>
                <patternFill>
                  <bgColor theme="0" tint="-0.14996795556505021"/>
                </patternFill>
              </fill>
            </x14:dxf>
          </x14:cfRule>
          <x14:cfRule type="expression" priority="62" id="{B554707B-531C-4004-8FCE-50714787DC14}">
            <xm:f>OR($D$30='Language table'!$D$4,$D$30='Language table'!$B$4)</xm:f>
            <x14:dxf>
              <fill>
                <patternFill patternType="none">
                  <bgColor auto="1"/>
                </patternFill>
              </fill>
            </x14:dxf>
          </x14:cfRule>
          <xm:sqref>H30:I30</xm:sqref>
        </x14:conditionalFormatting>
        <x14:conditionalFormatting xmlns:xm="http://schemas.microsoft.com/office/excel/2006/main">
          <x14:cfRule type="expression" priority="55" id="{235192C8-2CC1-4E49-8EFA-D10FFD2E1496}">
            <xm:f>AND($D$31='Language table'!$C$4,$H$31="")</xm:f>
            <x14:dxf>
              <fill>
                <patternFill>
                  <bgColor theme="0" tint="-0.14996795556505021"/>
                </patternFill>
              </fill>
            </x14:dxf>
          </x14:cfRule>
          <x14:cfRule type="expression" priority="61" id="{FD525B20-062C-4335-B97D-A29119B8D171}">
            <xm:f>OR($D$31='Language table'!$D$4,$D$31='Language table'!$B$4)</xm:f>
            <x14:dxf>
              <fill>
                <patternFill patternType="none">
                  <bgColor auto="1"/>
                </patternFill>
              </fill>
            </x14:dxf>
          </x14:cfRule>
          <xm:sqref>H31:I31</xm:sqref>
        </x14:conditionalFormatting>
        <x14:conditionalFormatting xmlns:xm="http://schemas.microsoft.com/office/excel/2006/main">
          <x14:cfRule type="expression" priority="53" id="{8A6B2D19-E432-4BD5-A7AE-C4ED725BD1F0}">
            <xm:f>AND($D$33='Language table'!$C$4,$H$33="")</xm:f>
            <x14:dxf>
              <fill>
                <patternFill>
                  <bgColor theme="0" tint="-0.14996795556505021"/>
                </patternFill>
              </fill>
            </x14:dxf>
          </x14:cfRule>
          <x14:cfRule type="expression" priority="59" id="{11C17366-1E8A-4291-BFA3-6A6F550FFE55}">
            <xm:f>OR($D$33='Language table'!$D$4,$D$33='Language table'!$B$4)</xm:f>
            <x14:dxf>
              <fill>
                <patternFill patternType="none">
                  <bgColor auto="1"/>
                </patternFill>
              </fill>
            </x14:dxf>
          </x14:cfRule>
          <xm:sqref>H33:I33</xm:sqref>
        </x14:conditionalFormatting>
        <x14:conditionalFormatting xmlns:xm="http://schemas.microsoft.com/office/excel/2006/main">
          <x14:cfRule type="expression" priority="50" id="{1390DEAE-D81C-4C56-9D16-E7B181AF3810}">
            <xm:f>AND($D$29='Language table'!$C$4,$J$29="")</xm:f>
            <x14:dxf>
              <fill>
                <patternFill>
                  <bgColor theme="0" tint="-0.14996795556505021"/>
                </patternFill>
              </fill>
            </x14:dxf>
          </x14:cfRule>
          <xm:sqref>J29:K29</xm:sqref>
        </x14:conditionalFormatting>
        <x14:conditionalFormatting xmlns:xm="http://schemas.microsoft.com/office/excel/2006/main">
          <x14:cfRule type="expression" priority="49" id="{70B01829-D34F-4519-85AD-FD517C4CA08F}">
            <xm:f>AND($D$30='Language table'!$C$4,$J$30="")</xm:f>
            <x14:dxf>
              <fill>
                <patternFill>
                  <bgColor theme="0" tint="-0.14996795556505021"/>
                </patternFill>
              </fill>
            </x14:dxf>
          </x14:cfRule>
          <xm:sqref>J30:K30</xm:sqref>
        </x14:conditionalFormatting>
        <x14:conditionalFormatting xmlns:xm="http://schemas.microsoft.com/office/excel/2006/main">
          <x14:cfRule type="expression" priority="48" id="{98AF8052-1965-45AE-B44E-B6F837F3AF26}">
            <xm:f>AND($D$31='Language table'!$C$4,$J$31="")</xm:f>
            <x14:dxf>
              <fill>
                <patternFill>
                  <bgColor theme="0" tint="-0.14996795556505021"/>
                </patternFill>
              </fill>
            </x14:dxf>
          </x14:cfRule>
          <xm:sqref>J31:K31</xm:sqref>
        </x14:conditionalFormatting>
        <x14:conditionalFormatting xmlns:xm="http://schemas.microsoft.com/office/excel/2006/main">
          <x14:cfRule type="expression" priority="47" id="{7275A5A3-AF31-4A98-BF4C-DA2630EC505B}">
            <xm:f>AND($D$32='Language table'!$C$4,$J$32="")</xm:f>
            <x14:dxf>
              <fill>
                <patternFill>
                  <bgColor theme="0" tint="-0.14996795556505021"/>
                </patternFill>
              </fill>
            </x14:dxf>
          </x14:cfRule>
          <xm:sqref>J32:K32</xm:sqref>
        </x14:conditionalFormatting>
        <x14:conditionalFormatting xmlns:xm="http://schemas.microsoft.com/office/excel/2006/main">
          <x14:cfRule type="expression" priority="45" id="{09847DF7-797C-48B9-BB2E-CAA015A6C07E}">
            <xm:f>AND($D$33='Language table'!$C$4,$J$33="")</xm:f>
            <x14:dxf>
              <fill>
                <patternFill>
                  <bgColor theme="0" tint="-0.14996795556505021"/>
                </patternFill>
              </fill>
            </x14:dxf>
          </x14:cfRule>
          <xm:sqref>J33:K33</xm:sqref>
        </x14:conditionalFormatting>
        <x14:conditionalFormatting xmlns:xm="http://schemas.microsoft.com/office/excel/2006/main">
          <x14:cfRule type="expression" priority="44" id="{77CD0FEF-81C7-44AD-A62E-2E8FF960F632}">
            <xm:f>AND($D$34='Language table'!$C$4,$J$34="")</xm:f>
            <x14:dxf>
              <fill>
                <patternFill>
                  <bgColor theme="0" tint="-0.14996795556505021"/>
                </patternFill>
              </fill>
            </x14:dxf>
          </x14:cfRule>
          <xm:sqref>J34:K34</xm:sqref>
        </x14:conditionalFormatting>
        <x14:conditionalFormatting xmlns:xm="http://schemas.microsoft.com/office/excel/2006/main">
          <x14:cfRule type="expression" priority="35" id="{C78F8925-B613-4DEE-A0CE-83096BF88ABE}">
            <xm:f>AND($D$6&lt;&gt;'Language table'!$B$4,$I$6="")</xm:f>
            <x14:dxf>
              <fill>
                <patternFill>
                  <bgColor theme="0" tint="-0.14996795556505021"/>
                </patternFill>
              </fill>
            </x14:dxf>
          </x14:cfRule>
          <xm:sqref>I6 J6</xm:sqref>
        </x14:conditionalFormatting>
        <x14:conditionalFormatting xmlns:xm="http://schemas.microsoft.com/office/excel/2006/main">
          <x14:cfRule type="expression" priority="34" id="{3D448637-6C7C-4627-B864-41EEAC48D4B5}">
            <xm:f>AND($D$7&lt;&gt;'Language table'!$B$4,$I$7="")</xm:f>
            <x14:dxf>
              <fill>
                <patternFill>
                  <bgColor theme="0" tint="-0.14996795556505021"/>
                </patternFill>
              </fill>
            </x14:dxf>
          </x14:cfRule>
          <xm:sqref>I7 J7</xm:sqref>
        </x14:conditionalFormatting>
        <x14:conditionalFormatting xmlns:xm="http://schemas.microsoft.com/office/excel/2006/main">
          <x14:cfRule type="expression" priority="39" id="{755E8BDE-7644-4383-A4A3-BFEC06AD9DD8}">
            <xm:f>AND($D$5&lt;&gt;'Language table'!$B$4,$I$5="")</xm:f>
            <x14:dxf>
              <fill>
                <patternFill>
                  <bgColor theme="0" tint="-0.14996795556505021"/>
                </patternFill>
              </fill>
            </x14:dxf>
          </x14:cfRule>
          <xm:sqref>I5:J5</xm:sqref>
        </x14:conditionalFormatting>
        <x14:conditionalFormatting xmlns:xm="http://schemas.microsoft.com/office/excel/2006/main">
          <x14:cfRule type="expression" priority="38" id="{05DE24AD-42CD-4FB7-9EC7-EA1175B78B7F}">
            <xm:f>$D$5='Language table'!$B$4</xm:f>
            <x14:dxf>
              <font>
                <color theme="0"/>
              </font>
              <fill>
                <patternFill>
                  <bgColor theme="0"/>
                </patternFill>
              </fill>
            </x14:dxf>
          </x14:cfRule>
          <xm:sqref>K5</xm:sqref>
        </x14:conditionalFormatting>
        <x14:conditionalFormatting xmlns:xm="http://schemas.microsoft.com/office/excel/2006/main">
          <x14:cfRule type="expression" priority="37" id="{23061240-5009-4A74-87EF-CFF37079DE26}">
            <xm:f>$D$6='Language table'!$B$4</xm:f>
            <x14:dxf>
              <font>
                <color theme="0"/>
              </font>
              <fill>
                <patternFill>
                  <bgColor theme="0"/>
                </patternFill>
              </fill>
            </x14:dxf>
          </x14:cfRule>
          <xm:sqref>K6</xm:sqref>
        </x14:conditionalFormatting>
        <x14:conditionalFormatting xmlns:xm="http://schemas.microsoft.com/office/excel/2006/main">
          <x14:cfRule type="expression" priority="36" id="{F2154A54-586E-4E94-BE46-C82E2DB2A800}">
            <xm:f>$D$7='Language table'!$B$4</xm:f>
            <x14:dxf>
              <font>
                <color theme="0"/>
              </font>
              <fill>
                <patternFill>
                  <bgColor theme="0"/>
                </patternFill>
              </fill>
            </x14:dxf>
          </x14:cfRule>
          <xm:sqref>K7</xm:sqref>
        </x14:conditionalFormatting>
        <x14:conditionalFormatting xmlns:xm="http://schemas.microsoft.com/office/excel/2006/main">
          <x14:cfRule type="expression" priority="33" id="{01BDA799-D25E-463B-A32D-4011F7F200C7}">
            <xm:f>AND($H$48='Language table'!$E$5,$J$48="")</xm:f>
            <x14:dxf>
              <fill>
                <patternFill>
                  <bgColor theme="0" tint="-0.14996795556505021"/>
                </patternFill>
              </fill>
            </x14:dxf>
          </x14:cfRule>
          <xm:sqref>J48:K48</xm:sqref>
        </x14:conditionalFormatting>
        <x14:conditionalFormatting xmlns:xm="http://schemas.microsoft.com/office/excel/2006/main">
          <x14:cfRule type="expression" priority="32" id="{2AA5FF13-05EF-4920-9433-4B771FC00920}">
            <xm:f>AND($H$49='Language table'!$E$5,$J$49="")</xm:f>
            <x14:dxf>
              <fill>
                <patternFill>
                  <bgColor theme="0" tint="-0.14996795556505021"/>
                </patternFill>
              </fill>
            </x14:dxf>
          </x14:cfRule>
          <xm:sqref>J49:K49</xm:sqref>
        </x14:conditionalFormatting>
        <x14:conditionalFormatting xmlns:xm="http://schemas.microsoft.com/office/excel/2006/main">
          <x14:cfRule type="expression" priority="31" id="{CB4CBDDC-5972-4054-9870-A1FC230A92A6}">
            <xm:f>AND($H$50='Language table'!$E$5,$J$50="")</xm:f>
            <x14:dxf>
              <fill>
                <patternFill>
                  <bgColor theme="0" tint="-0.14996795556505021"/>
                </patternFill>
              </fill>
            </x14:dxf>
          </x14:cfRule>
          <xm:sqref>J50:K50</xm:sqref>
        </x14:conditionalFormatting>
        <x14:conditionalFormatting xmlns:xm="http://schemas.microsoft.com/office/excel/2006/main">
          <x14:cfRule type="expression" priority="30" id="{B5FE13D8-F628-41A1-A86D-D0C1A29A856D}">
            <xm:f>AND($H$51='Language table'!$E$5,$J$51="")</xm:f>
            <x14:dxf>
              <fill>
                <patternFill>
                  <bgColor theme="0" tint="-0.14996795556505021"/>
                </patternFill>
              </fill>
            </x14:dxf>
          </x14:cfRule>
          <xm:sqref>J51:K51</xm:sqref>
        </x14:conditionalFormatting>
        <x14:conditionalFormatting xmlns:xm="http://schemas.microsoft.com/office/excel/2006/main">
          <x14:cfRule type="expression" priority="29" id="{DCC0C3D3-B863-40C6-A8ED-A4F9D103190D}">
            <xm:f>AND($H$52='Language table'!$E$5,$J$52="")</xm:f>
            <x14:dxf>
              <fill>
                <patternFill>
                  <bgColor theme="0" tint="-0.14996795556505021"/>
                </patternFill>
              </fill>
            </x14:dxf>
          </x14:cfRule>
          <xm:sqref>J52:K52</xm:sqref>
        </x14:conditionalFormatting>
        <x14:conditionalFormatting xmlns:xm="http://schemas.microsoft.com/office/excel/2006/main">
          <x14:cfRule type="expression" priority="28" id="{761E2CF7-B96E-4D5D-A269-33657308A17F}">
            <xm:f>AND($H$53='Language table'!$E$5,$J$53="")</xm:f>
            <x14:dxf>
              <fill>
                <patternFill>
                  <bgColor theme="0" tint="-0.14996795556505021"/>
                </patternFill>
              </fill>
            </x14:dxf>
          </x14:cfRule>
          <xm:sqref>J53:K53</xm:sqref>
        </x14:conditionalFormatting>
        <x14:conditionalFormatting xmlns:xm="http://schemas.microsoft.com/office/excel/2006/main">
          <x14:cfRule type="expression" priority="27" id="{7BD5A72B-3DB1-4012-9916-8845B6E9C4BD}">
            <xm:f>AND($H$54='Language table'!$E$5,$J$54="")</xm:f>
            <x14:dxf>
              <fill>
                <patternFill>
                  <bgColor theme="0" tint="-0.14996795556505021"/>
                </patternFill>
              </fill>
            </x14:dxf>
          </x14:cfRule>
          <xm:sqref>J54:K54</xm:sqref>
        </x14:conditionalFormatting>
        <x14:conditionalFormatting xmlns:xm="http://schemas.microsoft.com/office/excel/2006/main">
          <x14:cfRule type="cellIs" priority="24" operator="equal" id="{7A17E39B-CE49-4397-B3A3-24D0B6C28A31}">
            <xm:f>'Language table'!$B$3</xm:f>
            <x14:dxf>
              <fill>
                <patternFill>
                  <bgColor theme="0" tint="-0.14996795556505021"/>
                </patternFill>
              </fill>
            </x14:dxf>
          </x14:cfRule>
          <xm:sqref>D36</xm:sqref>
        </x14:conditionalFormatting>
        <x14:conditionalFormatting xmlns:xm="http://schemas.microsoft.com/office/excel/2006/main">
          <x14:cfRule type="expression" priority="66" id="{A6F2ECAE-6125-47EA-9F07-6036B47BC699}">
            <xm:f>$D$35='Language table'!$D$4</xm:f>
            <x14:dxf>
              <fill>
                <patternFill>
                  <bgColor theme="0" tint="-0.14996795556505021"/>
                </patternFill>
              </fill>
            </x14:dxf>
          </x14:cfRule>
          <xm:sqref>F35:G35</xm:sqref>
        </x14:conditionalFormatting>
        <x14:conditionalFormatting xmlns:xm="http://schemas.microsoft.com/office/excel/2006/main">
          <x14:cfRule type="expression" priority="52" id="{D193C6AE-7CF9-4B48-A8F3-9B2316A9E350}">
            <xm:f>AND($D$34='Language table'!$C$4,$H$34="")</xm:f>
            <x14:dxf>
              <fill>
                <patternFill>
                  <bgColor theme="0" tint="-0.14996795556505021"/>
                </patternFill>
              </fill>
            </x14:dxf>
          </x14:cfRule>
          <x14:cfRule type="expression" priority="58" id="{21C29578-47F9-49B6-9AA7-5971C7CDD031}">
            <xm:f>OR($D$34='Language table'!$D$4,$D$34='Language table'!$B$4)</xm:f>
            <x14:dxf>
              <fill>
                <patternFill patternType="none">
                  <bgColor auto="1"/>
                </patternFill>
              </fill>
            </x14:dxf>
          </x14:cfRule>
          <xm:sqref>H34:I34</xm:sqref>
        </x14:conditionalFormatting>
        <x14:conditionalFormatting xmlns:xm="http://schemas.microsoft.com/office/excel/2006/main">
          <x14:cfRule type="expression" priority="15" id="{2491043D-66F6-4CC3-996B-4AE9A5B61FC2}">
            <xm:f>AND($D$35='Language table'!$C$4,$H$35="")</xm:f>
            <x14:dxf>
              <fill>
                <patternFill>
                  <bgColor theme="0" tint="-0.14996795556505021"/>
                </patternFill>
              </fill>
            </x14:dxf>
          </x14:cfRule>
          <x14:cfRule type="expression" priority="16" id="{F5B5BF7E-6872-4A2A-BB71-01E61796C876}">
            <xm:f>OR($D$35='Language table'!$D$4,$D$35='Language table'!$B$4)</xm:f>
            <x14:dxf>
              <fill>
                <patternFill>
                  <bgColor theme="0"/>
                </patternFill>
              </fill>
            </x14:dxf>
          </x14:cfRule>
          <xm:sqref>H35:I35</xm:sqref>
        </x14:conditionalFormatting>
        <x14:conditionalFormatting xmlns:xm="http://schemas.microsoft.com/office/excel/2006/main">
          <x14:cfRule type="expression" priority="14" id="{A2BA9BD1-1C0C-4526-9B5C-B797CA2C609A}">
            <xm:f>AND($D$35='Language table'!$C$4,$J$35="")</xm:f>
            <x14:dxf>
              <fill>
                <patternFill>
                  <bgColor theme="0" tint="-0.14996795556505021"/>
                </patternFill>
              </fill>
            </x14:dxf>
          </x14:cfRule>
          <xm:sqref>J35:K35</xm:sqref>
        </x14:conditionalFormatting>
        <x14:conditionalFormatting xmlns:xm="http://schemas.microsoft.com/office/excel/2006/main">
          <x14:cfRule type="expression" priority="83" id="{B23740E7-C88F-4969-99F3-1DE392413209}">
            <xm:f>AND($D$36='Language table'!$C$4,$J$36="")</xm:f>
            <x14:dxf>
              <fill>
                <patternFill>
                  <bgColor theme="0" tint="-0.14996795556505021"/>
                </patternFill>
              </fill>
            </x14:dxf>
          </x14:cfRule>
          <xm:sqref>J36:K36 J37</xm:sqref>
        </x14:conditionalFormatting>
        <x14:conditionalFormatting xmlns:xm="http://schemas.microsoft.com/office/excel/2006/main">
          <x14:cfRule type="expression" priority="21" id="{BCA9989A-F188-40DB-8134-0C0EE2048424}">
            <xm:f>$D$36='Language table'!$D$4</xm:f>
            <x14:dxf>
              <fill>
                <patternFill>
                  <bgColor theme="0" tint="-0.14996795556505021"/>
                </patternFill>
              </fill>
            </x14:dxf>
          </x14:cfRule>
          <xm:sqref>F36:G36 F37</xm:sqref>
        </x14:conditionalFormatting>
        <x14:conditionalFormatting xmlns:xm="http://schemas.microsoft.com/office/excel/2006/main">
          <x14:cfRule type="expression" priority="10" id="{ED4628AE-507C-49DB-A4CC-C1D462B48FD6}">
            <xm:f>AND($D$36='Language table'!$C$4,$H$36="")</xm:f>
            <x14:dxf>
              <fill>
                <patternFill>
                  <bgColor theme="0" tint="-0.14996795556505021"/>
                </patternFill>
              </fill>
            </x14:dxf>
          </x14:cfRule>
          <x14:cfRule type="expression" priority="13" id="{4D76ED12-86EF-4ACB-9ADD-65A71DD30CE2}">
            <xm:f>OR($D$36='Language table'!$D$4,$D$36='Language table'!$B$4)</xm:f>
            <x14:dxf>
              <fill>
                <patternFill>
                  <bgColor theme="0"/>
                </patternFill>
              </fill>
            </x14:dxf>
          </x14:cfRule>
          <xm:sqref>H36:I36</xm:sqref>
        </x14:conditionalFormatting>
        <x14:conditionalFormatting xmlns:xm="http://schemas.microsoft.com/office/excel/2006/main">
          <x14:cfRule type="expression" priority="250" id="{49D1D077-D0B0-4AA5-876E-13E00BC52139}">
            <xm:f>OR($D$36='Language table'!$E$39,$D$36='Language table'!$E$40)</xm:f>
            <x14:dxf>
              <font>
                <b/>
                <i val="0"/>
                <color auto="1"/>
              </font>
            </x14:dxf>
          </x14:cfRule>
          <xm:sqref>F37 J37</xm:sqref>
        </x14:conditionalFormatting>
        <x14:conditionalFormatting xmlns:xm="http://schemas.microsoft.com/office/excel/2006/main">
          <x14:cfRule type="expression" priority="6" id="{2D327EDC-C439-44D4-A956-266C15B8E77B}">
            <xm:f>AND($D$36='Language table'!$E$44,$D$38="")</xm:f>
            <x14:dxf>
              <fill>
                <patternFill>
                  <bgColor theme="0" tint="-0.14996795556505021"/>
                </patternFill>
              </fill>
            </x14:dxf>
          </x14:cfRule>
          <xm:sqref>D38:E38</xm:sqref>
        </x14:conditionalFormatting>
        <x14:conditionalFormatting xmlns:xm="http://schemas.microsoft.com/office/excel/2006/main">
          <x14:cfRule type="expression" priority="1" id="{DCFF9186-B07C-4450-B7BE-8E093996CDC7}">
            <xm:f>VC&lt;&gt;'Language table'!$C$3</xm:f>
            <x14:dxf>
              <font>
                <color theme="0"/>
              </font>
              <fill>
                <patternFill>
                  <bgColor theme="0"/>
                </patternFill>
              </fill>
              <border>
                <left/>
                <right/>
                <top/>
                <bottom/>
                <vertical/>
                <horizontal/>
              </border>
            </x14:dxf>
          </x14:cfRule>
          <xm:sqref>A57:K60</xm:sqref>
        </x14:conditionalFormatting>
        <x14:conditionalFormatting xmlns:xm="http://schemas.microsoft.com/office/excel/2006/main">
          <x14:cfRule type="cellIs" priority="5" operator="equal" id="{FEA10018-0C2F-4659-A5EE-B5878A4DB7E9}">
            <xm:f>'Language table'!$B$3</xm:f>
            <x14:dxf>
              <fill>
                <patternFill>
                  <bgColor theme="0" tint="-0.14996795556505021"/>
                </patternFill>
              </fill>
            </x14:dxf>
          </x14:cfRule>
          <xm:sqref>J58:K59</xm:sqref>
        </x14:conditionalFormatting>
        <x14:conditionalFormatting xmlns:xm="http://schemas.microsoft.com/office/excel/2006/main">
          <x14:cfRule type="cellIs" priority="2" operator="equal" id="{2A4534BF-828D-4E94-B720-C85E94674087}">
            <xm:f>'Language table'!$B$3</xm:f>
            <x14:dxf>
              <fill>
                <patternFill>
                  <bgColor theme="0" tint="-0.14996795556505021"/>
                </patternFill>
              </fill>
            </x14:dxf>
          </x14:cfRule>
          <xm:sqref>J59:K60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6"/>
  <sheetViews>
    <sheetView showGridLines="0" zoomScale="120" zoomScaleNormal="120" zoomScalePageLayoutView="110" workbookViewId="0">
      <selection activeCell="F17" sqref="F17"/>
    </sheetView>
  </sheetViews>
  <sheetFormatPr baseColWidth="10" defaultColWidth="9.140625" defaultRowHeight="12.75"/>
  <cols>
    <col min="1" max="1" width="6.28515625" customWidth="1"/>
    <col min="2" max="2" width="8.7109375" customWidth="1"/>
    <col min="3" max="5" width="25.7109375" customWidth="1"/>
    <col min="6" max="6" width="22.42578125" customWidth="1"/>
    <col min="11" max="11" width="14.7109375" customWidth="1"/>
    <col min="12" max="12" width="16.7109375" customWidth="1"/>
  </cols>
  <sheetData>
    <row r="1" spans="1:8" ht="42.75" customHeight="1" thickBot="1">
      <c r="A1" s="669" t="str">
        <f>HLOOKUP(Language,Translation,2)</f>
        <v>Supplier Self-Assessment</v>
      </c>
      <c r="B1" s="670"/>
      <c r="C1" s="670"/>
      <c r="D1" s="670"/>
      <c r="E1" s="670"/>
      <c r="F1" s="25"/>
    </row>
    <row r="2" spans="1:8" ht="8.25" customHeight="1" thickBot="1">
      <c r="A2" s="26"/>
      <c r="B2" s="26"/>
      <c r="C2" s="26"/>
      <c r="D2" s="26"/>
      <c r="E2" s="26"/>
      <c r="F2" s="27"/>
    </row>
    <row r="3" spans="1:8" ht="15.75" customHeight="1" thickBot="1">
      <c r="A3" s="664" t="s">
        <v>397</v>
      </c>
      <c r="B3" s="665"/>
      <c r="C3" s="665" t="str">
        <f>HLOOKUP(Language,Translation,109)</f>
        <v>Evaluation of HSE- / Energy- / Cyber Security Management</v>
      </c>
      <c r="D3" s="665"/>
      <c r="E3" s="665"/>
      <c r="F3" s="671"/>
      <c r="H3" s="1"/>
    </row>
    <row r="4" spans="1:8" ht="8.25" customHeight="1" thickBot="1">
      <c r="A4" s="666"/>
      <c r="B4" s="666"/>
      <c r="C4" s="666"/>
      <c r="D4" s="666"/>
      <c r="E4" s="666"/>
      <c r="F4" s="666"/>
    </row>
    <row r="5" spans="1:8" ht="15.75" customHeight="1">
      <c r="A5" s="28">
        <v>1</v>
      </c>
      <c r="B5" s="667" t="str">
        <f>HLOOKUP(Language,Translation,110)</f>
        <v>Information about Environmental / Safety / Energy / Cyber Security Management in the company</v>
      </c>
      <c r="C5" s="667"/>
      <c r="D5" s="667"/>
      <c r="E5" s="667"/>
      <c r="F5" s="668"/>
    </row>
    <row r="6" spans="1:8" s="30" customFormat="1" ht="15.75" customHeight="1" thickBot="1">
      <c r="A6" s="29"/>
      <c r="B6" s="676" t="str">
        <f>HLOOKUP(Language,Translation,80)</f>
        <v>*Please attach a copy of the management certificates (PDF)</v>
      </c>
      <c r="C6" s="676"/>
      <c r="D6" s="676"/>
      <c r="E6" s="676"/>
      <c r="F6" s="677"/>
    </row>
    <row r="7" spans="1:8" s="30" customFormat="1" ht="18.75" customHeight="1">
      <c r="A7" s="678" t="s">
        <v>35</v>
      </c>
      <c r="B7" s="679" t="str">
        <f>HLOOKUP(Language,Translation,111)</f>
        <v>Environmental Management System (e.g. ISO 14001, EMAS III)</v>
      </c>
      <c r="C7" s="680"/>
      <c r="D7" s="680"/>
      <c r="E7" s="681"/>
      <c r="F7" s="188" t="str">
        <f>'B Financial &amp; C Quality'!D33</f>
        <v>Please select!</v>
      </c>
    </row>
    <row r="8" spans="1:8" s="30" customFormat="1" ht="18.75" customHeight="1">
      <c r="A8" s="673"/>
      <c r="B8" s="682"/>
      <c r="C8" s="675"/>
      <c r="D8" s="675"/>
      <c r="E8" s="683"/>
      <c r="F8" s="31" t="str">
        <f>IF(F7='Language table'!$D$4,HLOOKUP(Language,Translation,114),IF(F7='Language table'!$C$4,HLOOKUP(Language,Translation,192),""))</f>
        <v/>
      </c>
    </row>
    <row r="9" spans="1:8" s="30" customFormat="1" ht="18.75" customHeight="1">
      <c r="A9" s="672" t="s">
        <v>37</v>
      </c>
      <c r="B9" s="684" t="str">
        <f>HLOOKUP(Language,Translation,112)</f>
        <v>Health &amp; Safety Management System (e.g. ISO 45001 (former OHSAS 18001), ANSI Z10, CSA Z1000, BS 8800, OSHA VPP)</v>
      </c>
      <c r="C9" s="674"/>
      <c r="D9" s="674"/>
      <c r="E9" s="685"/>
      <c r="F9" s="189" t="str">
        <f>'B Financial &amp; C Quality'!D34</f>
        <v>Please select!</v>
      </c>
    </row>
    <row r="10" spans="1:8" s="30" customFormat="1" ht="18.75" customHeight="1">
      <c r="A10" s="673"/>
      <c r="B10" s="682"/>
      <c r="C10" s="675"/>
      <c r="D10" s="675"/>
      <c r="E10" s="683"/>
      <c r="F10" s="31" t="str">
        <f>IF(F9='Language table'!$D$4,HLOOKUP(Language,Translation,115),IF(F9='Language table'!$C$4,HLOOKUP(Language,Translation,193),""))</f>
        <v/>
      </c>
    </row>
    <row r="11" spans="1:8" s="30" customFormat="1" ht="18.75" customHeight="1">
      <c r="A11" s="672" t="s">
        <v>39</v>
      </c>
      <c r="B11" s="674" t="str">
        <f>HLOOKUP(Language,Translation,113)</f>
        <v>Energy Management System (e.g. ISO 50001)</v>
      </c>
      <c r="C11" s="674"/>
      <c r="D11" s="674"/>
      <c r="E11" s="674"/>
      <c r="F11" s="190" t="str">
        <f>'B Financial &amp; C Quality'!D35</f>
        <v>Please select!</v>
      </c>
    </row>
    <row r="12" spans="1:8" s="30" customFormat="1" ht="18.75" customHeight="1">
      <c r="A12" s="673"/>
      <c r="B12" s="675"/>
      <c r="C12" s="675"/>
      <c r="D12" s="675"/>
      <c r="E12" s="675"/>
      <c r="F12" s="31" t="str">
        <f>IF(F11='Language table'!$D$4,HLOOKUP(Language,Translation,116),IF(F11='Language table'!$C$4,HLOOKUP(Language,Translation,194),""))</f>
        <v/>
      </c>
    </row>
    <row r="13" spans="1:8" s="30" customFormat="1" ht="18.75" customHeight="1">
      <c r="A13" s="686" t="s">
        <v>1304</v>
      </c>
      <c r="B13" s="684" t="str">
        <f>HLOOKUP(Language,Translation,256)</f>
        <v>Cyber Security</v>
      </c>
      <c r="C13" s="674"/>
      <c r="D13" s="674"/>
      <c r="E13" s="685"/>
      <c r="F13" s="197" t="str">
        <f>IF(OR('B Financial &amp; C Quality'!D36='Language table'!E38,'B Financial &amp; C Quality'!D36='Language table'!E44),'Language table'!D4,IF('B Financial &amp; C Quality'!D36='Language table'!B4,'Language table'!B4,'Language table'!C4))</f>
        <v>Please select!</v>
      </c>
    </row>
    <row r="14" spans="1:8" s="30" customFormat="1" ht="18.75" customHeight="1" thickBot="1">
      <c r="A14" s="687"/>
      <c r="B14" s="688"/>
      <c r="C14" s="502"/>
      <c r="D14" s="502"/>
      <c r="E14" s="689"/>
      <c r="F14" s="32" t="str">
        <f>IF(F13='Language table'!$D$4,HLOOKUP(Language,Translation,254),IF(F13='Language table'!$C$4,HLOOKUP(Language,Translation,255),""))</f>
        <v/>
      </c>
    </row>
    <row r="15" spans="1:8" ht="8.25" customHeight="1" thickBot="1">
      <c r="A15" s="13"/>
      <c r="B15" s="691"/>
      <c r="C15" s="691"/>
      <c r="D15" s="691"/>
      <c r="E15" s="692"/>
      <c r="F15" s="692"/>
    </row>
    <row r="16" spans="1:8" s="34" customFormat="1" ht="24" customHeight="1" thickBot="1">
      <c r="A16" s="33">
        <v>2</v>
      </c>
      <c r="B16" s="415" t="str">
        <f>HLOOKUP(Language,Translation,117)</f>
        <v>Environment</v>
      </c>
      <c r="C16" s="415"/>
      <c r="D16" s="415"/>
      <c r="E16" s="415"/>
      <c r="F16" s="416"/>
    </row>
    <row r="17" spans="1:6" ht="38.25" customHeight="1">
      <c r="A17" s="35" t="s">
        <v>34</v>
      </c>
      <c r="B17" s="660" t="str">
        <f>HLOOKUP(Language,Translation,118)</f>
        <v>Does your company have environmental guidelines or an environmental policy? (if yes, please attach copy)</v>
      </c>
      <c r="C17" s="660"/>
      <c r="D17" s="661"/>
      <c r="E17" s="661"/>
      <c r="F17" s="38" t="s">
        <v>118</v>
      </c>
    </row>
    <row r="18" spans="1:6" ht="58.5" customHeight="1">
      <c r="A18" s="36" t="s">
        <v>36</v>
      </c>
      <c r="B18" s="662" t="str">
        <f>HLOOKUP(Language,Translation,119)</f>
        <v>Did you implement a process to control and comply to relevant legal regulations, voluntary agreements with customer, public authorities, industry associations or own company-specific requirements? (e.g. regular audits, policies against harmful pollution of soil, water, and air, guidelines against harmful noise emission)</v>
      </c>
      <c r="C18" s="662"/>
      <c r="D18" s="662"/>
      <c r="E18" s="662"/>
      <c r="F18" s="39" t="s">
        <v>118</v>
      </c>
    </row>
    <row r="19" spans="1:6" ht="42.75" customHeight="1">
      <c r="A19" s="36" t="s">
        <v>38</v>
      </c>
      <c r="B19" s="662" t="str">
        <f>HLOOKUP(Language,Translation,120)</f>
        <v>Did your company implement a process to continuously improve the environmental performance? (Program/Goals)</v>
      </c>
      <c r="C19" s="662"/>
      <c r="D19" s="662"/>
      <c r="E19" s="662"/>
      <c r="F19" s="39" t="s">
        <v>118</v>
      </c>
    </row>
    <row r="20" spans="1:6" ht="38.25" customHeight="1">
      <c r="A20" s="36" t="s">
        <v>40</v>
      </c>
      <c r="B20" s="662" t="str">
        <f>HLOOKUP(Language,Translation,121)</f>
        <v>Do your associates get periodic environmental trainings?</v>
      </c>
      <c r="C20" s="662"/>
      <c r="D20" s="662"/>
      <c r="E20" s="662"/>
      <c r="F20" s="39" t="s">
        <v>118</v>
      </c>
    </row>
    <row r="21" spans="1:6" ht="38.25" customHeight="1" thickBot="1">
      <c r="A21" s="37" t="s">
        <v>41</v>
      </c>
      <c r="B21" s="663" t="str">
        <f>HLOOKUP(Language,Translation,122)</f>
        <v>Did the environmental performance of your company improve in the last year?</v>
      </c>
      <c r="C21" s="663"/>
      <c r="D21" s="663"/>
      <c r="E21" s="663"/>
      <c r="F21" s="40" t="s">
        <v>118</v>
      </c>
    </row>
    <row r="22" spans="1:6" ht="8.25" customHeight="1" thickBot="1"/>
    <row r="23" spans="1:6" ht="24" customHeight="1" thickBot="1">
      <c r="A23" s="33">
        <v>3</v>
      </c>
      <c r="B23" s="415" t="str">
        <f>HLOOKUP(Language,Translation,123)</f>
        <v>Safety</v>
      </c>
      <c r="C23" s="415"/>
      <c r="D23" s="415"/>
      <c r="E23" s="415"/>
      <c r="F23" s="416"/>
    </row>
    <row r="24" spans="1:6" ht="38.25" customHeight="1">
      <c r="A24" s="35" t="s">
        <v>42</v>
      </c>
      <c r="B24" s="661" t="str">
        <f>HLOOKUP(Language,Translation,124)</f>
        <v>Does your company have health and safety guidelines or a health and safety policy? (if yes, please attach copy)</v>
      </c>
      <c r="C24" s="661"/>
      <c r="D24" s="661"/>
      <c r="E24" s="661"/>
      <c r="F24" s="38" t="s">
        <v>118</v>
      </c>
    </row>
    <row r="25" spans="1:6" ht="48" customHeight="1">
      <c r="A25" s="36" t="s">
        <v>43</v>
      </c>
      <c r="B25" s="662" t="str">
        <f>HLOOKUP(Language,Translation,125)</f>
        <v>Did you implement a process to control and comply to relevant legal regulations, voluntary agreements with employees, health authorities, customers or own company-specific requirements? (e.g. regular audits)</v>
      </c>
      <c r="C25" s="662"/>
      <c r="D25" s="662"/>
      <c r="E25" s="662"/>
      <c r="F25" s="39" t="s">
        <v>118</v>
      </c>
    </row>
    <row r="26" spans="1:6" ht="38.25" customHeight="1">
      <c r="A26" s="36" t="s">
        <v>46</v>
      </c>
      <c r="B26" s="662" t="str">
        <f>HLOOKUP(Language,Translation,126)</f>
        <v>Did your company implement a process to continously improve the health and safety performance? (Program/Goals)</v>
      </c>
      <c r="C26" s="662"/>
      <c r="D26" s="662"/>
      <c r="E26" s="662"/>
      <c r="F26" s="39" t="s">
        <v>118</v>
      </c>
    </row>
    <row r="27" spans="1:6" ht="38.25" customHeight="1">
      <c r="A27" s="36" t="s">
        <v>96</v>
      </c>
      <c r="B27" s="662" t="str">
        <f>HLOOKUP(Language,Translation,127)</f>
        <v>Do your associates get periodic health and safety related trainings?</v>
      </c>
      <c r="C27" s="662"/>
      <c r="D27" s="662"/>
      <c r="E27" s="662"/>
      <c r="F27" s="39" t="s">
        <v>118</v>
      </c>
    </row>
    <row r="28" spans="1:6" ht="38.25" customHeight="1" thickBot="1">
      <c r="A28" s="37" t="s">
        <v>95</v>
      </c>
      <c r="B28" s="663" t="str">
        <f>HLOOKUP(Language,Translation,128)</f>
        <v>Did the health and safety performance of your company improve in the last year?</v>
      </c>
      <c r="C28" s="663"/>
      <c r="D28" s="663"/>
      <c r="E28" s="663"/>
      <c r="F28" s="40" t="s">
        <v>118</v>
      </c>
    </row>
    <row r="29" spans="1:6" ht="13.5" thickBot="1"/>
    <row r="30" spans="1:6" ht="24" customHeight="1" thickBot="1">
      <c r="A30" s="33">
        <v>4</v>
      </c>
      <c r="B30" s="415" t="str">
        <f>HLOOKUP(Language,Translation,129)</f>
        <v>Energy</v>
      </c>
      <c r="C30" s="415"/>
      <c r="D30" s="415"/>
      <c r="E30" s="415"/>
      <c r="F30" s="416"/>
    </row>
    <row r="31" spans="1:6" ht="38.25" customHeight="1">
      <c r="A31" s="35" t="s">
        <v>44</v>
      </c>
      <c r="B31" s="661" t="str">
        <f>HLOOKUP(Language,Translation,130)</f>
        <v>Does your company have guidelines or an energy policy? (if yes, please attach copy)</v>
      </c>
      <c r="C31" s="661"/>
      <c r="D31" s="661"/>
      <c r="E31" s="661"/>
      <c r="F31" s="38" t="s">
        <v>118</v>
      </c>
    </row>
    <row r="32" spans="1:6" ht="38.25" customHeight="1">
      <c r="A32" s="36" t="s">
        <v>48</v>
      </c>
      <c r="B32" s="662" t="str">
        <f>HLOOKUP(Language,Translation,131)</f>
        <v>Did you implement a process to control and comply to relevant legal regulations, voluntary agreements with customers etc. ? (e.g. on-site inspections, regular audits)</v>
      </c>
      <c r="C32" s="662"/>
      <c r="D32" s="662"/>
      <c r="E32" s="662"/>
      <c r="F32" s="39" t="s">
        <v>118</v>
      </c>
    </row>
    <row r="33" spans="1:6" ht="41.25" customHeight="1">
      <c r="A33" s="36" t="s">
        <v>49</v>
      </c>
      <c r="B33" s="662" t="str">
        <f>HLOOKUP(Language,Translation,132)</f>
        <v>Did your company implement a process to continuously improve the energy related performance? (Program/Goals)</v>
      </c>
      <c r="C33" s="662"/>
      <c r="D33" s="662"/>
      <c r="E33" s="662"/>
      <c r="F33" s="39" t="s">
        <v>118</v>
      </c>
    </row>
    <row r="34" spans="1:6" ht="38.25" customHeight="1">
      <c r="A34" s="36" t="s">
        <v>50</v>
      </c>
      <c r="B34" s="662" t="str">
        <f>HLOOKUP(Language,Translation,133)</f>
        <v>Do your associates get periodic trainings related to energy/energy saving?</v>
      </c>
      <c r="C34" s="662"/>
      <c r="D34" s="662"/>
      <c r="E34" s="662"/>
      <c r="F34" s="39" t="s">
        <v>118</v>
      </c>
    </row>
    <row r="35" spans="1:6" ht="38.25" customHeight="1" thickBot="1">
      <c r="A35" s="37" t="s">
        <v>45</v>
      </c>
      <c r="B35" s="663" t="str">
        <f>HLOOKUP(Language,Translation,134)</f>
        <v>Did the energy related performance of your company improve in the last year in processes that are relevant for the products to be supplied to BENTELER?</v>
      </c>
      <c r="C35" s="663"/>
      <c r="D35" s="663"/>
      <c r="E35" s="663"/>
      <c r="F35" s="40" t="s">
        <v>118</v>
      </c>
    </row>
    <row r="36" spans="1:6" ht="13.5" thickBot="1"/>
    <row r="37" spans="1:6" ht="24" customHeight="1" thickBot="1">
      <c r="A37" s="33">
        <v>5</v>
      </c>
      <c r="B37" s="415" t="str">
        <f>HLOOKUP(Language,Translation,256)</f>
        <v>Cyber Security</v>
      </c>
      <c r="C37" s="415"/>
      <c r="D37" s="415"/>
      <c r="E37" s="415"/>
      <c r="F37" s="416"/>
    </row>
    <row r="38" spans="1:6" ht="38.25" customHeight="1">
      <c r="A38" s="35" t="s">
        <v>47</v>
      </c>
      <c r="B38" s="690" t="str">
        <f>HLOOKUP(Language,Translation,257)</f>
        <v>Did your company implement procedures to comply to regulations of EU-GDPR?</v>
      </c>
      <c r="C38" s="690"/>
      <c r="D38" s="690"/>
      <c r="E38" s="690"/>
      <c r="F38" s="38" t="s">
        <v>118</v>
      </c>
    </row>
    <row r="39" spans="1:6" ht="38.25" customHeight="1">
      <c r="A39" s="647" t="s">
        <v>1307</v>
      </c>
      <c r="B39" s="656" t="str">
        <f>HLOOKUP(Language,Translation,220)</f>
        <v>You have not specified any certificates/ evidence on cybersecurity.</v>
      </c>
      <c r="C39" s="657"/>
      <c r="D39" s="657"/>
      <c r="E39" s="657"/>
      <c r="F39" s="658"/>
    </row>
    <row r="40" spans="1:6" ht="38.25" customHeight="1">
      <c r="A40" s="648"/>
      <c r="B40" s="655" t="str">
        <f>HLOOKUP(Language,Translation,258)</f>
        <v>Did you implement a process to control and comply to relevant legal regulations, voluntary agreements with customers etc.?</v>
      </c>
      <c r="C40" s="655"/>
      <c r="D40" s="655"/>
      <c r="E40" s="655"/>
      <c r="F40" s="200" t="s">
        <v>118</v>
      </c>
    </row>
    <row r="41" spans="1:6" ht="54" customHeight="1">
      <c r="A41" s="648"/>
      <c r="B41" s="650" t="str">
        <f>HLOOKUP(Language,Translation,261)</f>
        <v>Please explain your process:</v>
      </c>
      <c r="C41" s="651"/>
      <c r="D41" s="652"/>
      <c r="E41" s="653"/>
      <c r="F41" s="654"/>
    </row>
    <row r="42" spans="1:6" ht="38.25" customHeight="1">
      <c r="A42" s="648"/>
      <c r="B42" s="693" t="str">
        <f>HLOOKUP(Language,Translation,278)</f>
        <v>How do you want to develope your management system to fulfill our cyber security requirements within the next maximum 18 months?</v>
      </c>
      <c r="C42" s="694"/>
      <c r="D42" s="694"/>
      <c r="E42" s="694"/>
      <c r="F42" s="695"/>
    </row>
    <row r="43" spans="1:6" ht="54" customHeight="1">
      <c r="A43" s="649"/>
      <c r="B43" s="650" t="str">
        <f>HLOOKUP(Language,Translation,279)</f>
        <v>Please explain your Cyber Security Roadmap:</v>
      </c>
      <c r="C43" s="651"/>
      <c r="D43" s="652"/>
      <c r="E43" s="653"/>
      <c r="F43" s="654"/>
    </row>
    <row r="44" spans="1:6" ht="66" customHeight="1">
      <c r="A44" s="36" t="s">
        <v>1308</v>
      </c>
      <c r="B44" s="656" t="str">
        <f>HLOOKUP(Language,Translation,174)&amp;" "&amp;HLOOKUP(Language,Translation,175)</f>
        <v>Data processing systems must be protected against unauthorized access from the outside of the company as well as access by unauthorised persons within the organization. BENTELER expects that suppliers comply with the minimum local statutory requirements for securing electronic data. Do all your computers and data processing equipment come up to the latest national data protection laws and standards?</v>
      </c>
      <c r="C44" s="657"/>
      <c r="D44" s="657"/>
      <c r="E44" s="659"/>
      <c r="F44" s="39" t="s">
        <v>118</v>
      </c>
    </row>
    <row r="45" spans="1:6" ht="38.25" customHeight="1">
      <c r="A45" s="36" t="s">
        <v>1309</v>
      </c>
      <c r="B45" s="662" t="str">
        <f>HLOOKUP(Language,Translation,259)</f>
        <v>Did your company implement a process to continuously improve the data protection, IT- and information security? (Program/Goals)</v>
      </c>
      <c r="C45" s="662"/>
      <c r="D45" s="662"/>
      <c r="E45" s="662"/>
      <c r="F45" s="39" t="s">
        <v>118</v>
      </c>
    </row>
    <row r="46" spans="1:6" ht="38.25" customHeight="1" thickBot="1">
      <c r="A46" s="37" t="s">
        <v>1322</v>
      </c>
      <c r="B46" s="663" t="str">
        <f>HLOOKUP(Language,Translation,260)</f>
        <v>Do your associates get periodic trainings related to data protection, IT- and information security?</v>
      </c>
      <c r="C46" s="663"/>
      <c r="D46" s="663"/>
      <c r="E46" s="663"/>
      <c r="F46" s="40" t="s">
        <v>118</v>
      </c>
    </row>
  </sheetData>
  <sheetProtection algorithmName="SHA-512" hashValue="SgHMpZvXcD7du5uY+usegD7awFEbwJWPIu+2GcE7NR/RhYG3LU0G4/0cNFbkd2Ha76ZeTkwvMfPmlTt9beLLrA==" saltValue="Bw6v93Si+rkTOX27L+kZRg==" spinCount="100000" sheet="1" selectLockedCells="1"/>
  <mergeCells count="47">
    <mergeCell ref="B45:E45"/>
    <mergeCell ref="B46:E46"/>
    <mergeCell ref="A13:A14"/>
    <mergeCell ref="B13:E14"/>
    <mergeCell ref="B37:F37"/>
    <mergeCell ref="B38:E38"/>
    <mergeCell ref="B15:D15"/>
    <mergeCell ref="B24:E24"/>
    <mergeCell ref="B25:E25"/>
    <mergeCell ref="B18:E18"/>
    <mergeCell ref="B19:E19"/>
    <mergeCell ref="B20:E20"/>
    <mergeCell ref="B21:E21"/>
    <mergeCell ref="B23:F23"/>
    <mergeCell ref="E15:F15"/>
    <mergeCell ref="B42:F42"/>
    <mergeCell ref="A11:A12"/>
    <mergeCell ref="B11:E12"/>
    <mergeCell ref="B6:F6"/>
    <mergeCell ref="A7:A8"/>
    <mergeCell ref="B7:E8"/>
    <mergeCell ref="A9:A10"/>
    <mergeCell ref="B9:E10"/>
    <mergeCell ref="A3:B3"/>
    <mergeCell ref="A4:F4"/>
    <mergeCell ref="B5:F5"/>
    <mergeCell ref="A1:E1"/>
    <mergeCell ref="C3:F3"/>
    <mergeCell ref="B44:E44"/>
    <mergeCell ref="B16:F16"/>
    <mergeCell ref="B17:E17"/>
    <mergeCell ref="B33:E33"/>
    <mergeCell ref="B34:E34"/>
    <mergeCell ref="B41:C41"/>
    <mergeCell ref="B35:E35"/>
    <mergeCell ref="B26:E26"/>
    <mergeCell ref="B27:E27"/>
    <mergeCell ref="B28:E28"/>
    <mergeCell ref="B30:F30"/>
    <mergeCell ref="B31:E31"/>
    <mergeCell ref="B32:E32"/>
    <mergeCell ref="D41:F41"/>
    <mergeCell ref="A39:A43"/>
    <mergeCell ref="B43:C43"/>
    <mergeCell ref="D43:F43"/>
    <mergeCell ref="B40:E40"/>
    <mergeCell ref="B39:F39"/>
  </mergeCells>
  <conditionalFormatting sqref="D41 D43 F44">
    <cfRule type="containsBlanks" dxfId="76" priority="14">
      <formula>LEN(TRIM(D41))=0</formula>
    </cfRule>
  </conditionalFormatting>
  <dataValidations count="1">
    <dataValidation type="list" allowBlank="1" showInputMessage="1" showErrorMessage="1" sqref="F17:F21 F24:F28 F31:F35 F44:F46 F38 F40" xr:uid="{3EE1EA02-DB9A-4BD8-A99A-D6645FAE0C21}">
      <formula1>Selection</formula1>
    </dataValidation>
  </dataValidations>
  <printOptions horizontalCentered="1"/>
  <pageMargins left="0.39370078740157483" right="0.35433070866141736" top="0.43307086614173229" bottom="0.59055118110236227" header="0.23622047244094491" footer="0.15748031496062992"/>
  <pageSetup paperSize="9" scale="82" fitToHeight="0" orientation="portrait" r:id="rId1"/>
  <headerFooter alignWithMargins="0">
    <oddFooter>&amp;L&amp;6T.PU.005 Supplier Self Assessment and Approval Form / V3.3 / T.Schneider / 14.03.2024&amp;C&amp;1#&amp;8&amp;KA6A6A6restricted&amp;R&amp;6&amp;A   &amp;P/&amp;N</oddFooter>
  </headerFooter>
  <rowBreaks count="1" manualBreakCount="1">
    <brk id="35" max="5"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12" id="{8D3DD5C0-5B6F-49DB-9269-E0236A29987C}">
            <xm:f>$F$7='Language table'!$C$4</xm:f>
            <x14:dxf>
              <font>
                <color theme="0"/>
              </font>
              <fill>
                <patternFill>
                  <bgColor theme="0"/>
                </patternFill>
              </fill>
            </x14:dxf>
          </x14:cfRule>
          <xm:sqref>A17:F21</xm:sqref>
        </x14:conditionalFormatting>
        <x14:conditionalFormatting xmlns:xm="http://schemas.microsoft.com/office/excel/2006/main">
          <x14:cfRule type="expression" priority="11" id="{28743FC4-CAD5-452A-AABA-523B651EF8B5}">
            <xm:f>$F$9='Language table'!$C$4</xm:f>
            <x14:dxf>
              <font>
                <color theme="0"/>
              </font>
              <fill>
                <patternFill>
                  <bgColor theme="0"/>
                </patternFill>
              </fill>
            </x14:dxf>
          </x14:cfRule>
          <xm:sqref>A24:F28</xm:sqref>
        </x14:conditionalFormatting>
        <x14:conditionalFormatting xmlns:xm="http://schemas.microsoft.com/office/excel/2006/main">
          <x14:cfRule type="expression" priority="10" id="{0959577C-55FD-4D67-BA55-EB9D0D4B390D}">
            <xm:f>$F$11='Language table'!$C$4</xm:f>
            <x14:dxf>
              <font>
                <color theme="0"/>
              </font>
              <fill>
                <patternFill>
                  <bgColor theme="0"/>
                </patternFill>
              </fill>
            </x14:dxf>
          </x14:cfRule>
          <xm:sqref>A31:F35</xm:sqref>
        </x14:conditionalFormatting>
        <x14:conditionalFormatting xmlns:xm="http://schemas.microsoft.com/office/excel/2006/main">
          <x14:cfRule type="expression" priority="5" id="{DF525AAB-C4E8-419C-8F84-C161C05B7C73}">
            <xm:f>$F$13='Language table'!$C$4</xm:f>
            <x14:dxf>
              <font>
                <color theme="0"/>
              </font>
              <fill>
                <patternFill>
                  <bgColor theme="0"/>
                </patternFill>
              </fill>
            </x14:dxf>
          </x14:cfRule>
          <xm:sqref>A38:F38 A39:B39 A40:F40 D41 D43 A44:B44 F44 A45:F46</xm:sqref>
        </x14:conditionalFormatting>
        <x14:conditionalFormatting xmlns:xm="http://schemas.microsoft.com/office/excel/2006/main">
          <x14:cfRule type="expression" priority="1" id="{F759344D-8E1D-45FA-AF19-F788B91CD7BE}">
            <xm:f>$F$13='Language table'!$C$4</xm:f>
            <x14:dxf>
              <font>
                <color theme="0"/>
              </font>
              <fill>
                <patternFill>
                  <bgColor theme="0"/>
                </patternFill>
              </fill>
            </x14:dxf>
          </x14:cfRule>
          <xm:sqref>B41:B43</xm:sqref>
        </x14:conditionalFormatting>
        <x14:conditionalFormatting xmlns:xm="http://schemas.microsoft.com/office/excel/2006/main">
          <x14:cfRule type="expression" priority="3" id="{BE5048D9-3E83-49EE-B870-7981F811682E}">
            <xm:f>$F$39='Language table'!$D$4</xm:f>
            <x14:dxf>
              <font>
                <color theme="0"/>
              </font>
              <fill>
                <patternFill>
                  <bgColor theme="0"/>
                </patternFill>
              </fill>
            </x14:dxf>
          </x14:cfRule>
          <xm:sqref>B41:F41 B43:F43</xm:sqref>
        </x14:conditionalFormatting>
        <x14:conditionalFormatting xmlns:xm="http://schemas.microsoft.com/office/excel/2006/main">
          <x14:cfRule type="cellIs" priority="4" operator="equal" id="{7DFC937C-D874-45EE-8A44-00E8392ED94D}">
            <xm:f>'Language table'!$B$4</xm:f>
            <x14:dxf>
              <font>
                <color theme="0"/>
              </font>
            </x14:dxf>
          </x14:cfRule>
          <xm:sqref>F7 F9 F11 F13</xm:sqref>
        </x14:conditionalFormatting>
        <x14:conditionalFormatting xmlns:xm="http://schemas.microsoft.com/office/excel/2006/main">
          <x14:cfRule type="cellIs" priority="13" operator="equal" id="{17233D07-6DCF-4999-8541-76B857A612BE}">
            <xm:f>'Language table'!$B$3</xm:f>
            <x14:dxf>
              <fill>
                <patternFill>
                  <bgColor theme="0" tint="-0.14996795556505021"/>
                </patternFill>
              </fill>
            </x14:dxf>
          </x14:cfRule>
          <xm:sqref>F17:F21 F24:F28 F31:F35 F38 F40 F44:F46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103"/>
  <sheetViews>
    <sheetView showGridLines="0" zoomScale="120" zoomScaleNormal="120" zoomScaleSheetLayoutView="80" workbookViewId="0">
      <selection activeCell="F7" sqref="F7:G7"/>
    </sheetView>
  </sheetViews>
  <sheetFormatPr baseColWidth="10" defaultColWidth="11.42578125" defaultRowHeight="12.75"/>
  <cols>
    <col min="1" max="1" width="6.28515625" customWidth="1"/>
    <col min="2" max="2" width="9.7109375" customWidth="1"/>
    <col min="3" max="3" width="9.140625" customWidth="1"/>
    <col min="4" max="4" width="30.85546875" customWidth="1"/>
    <col min="5" max="5" width="12.7109375" bestFit="1" customWidth="1"/>
    <col min="6" max="6" width="19" customWidth="1"/>
    <col min="7" max="7" width="23" customWidth="1"/>
    <col min="27" max="27" width="10.140625" customWidth="1"/>
    <col min="28" max="32" width="11.42578125" customWidth="1"/>
  </cols>
  <sheetData>
    <row r="1" spans="1:31" ht="42.75" customHeight="1" thickBot="1">
      <c r="A1" s="669" t="str">
        <f>HLOOKUP(Language,Translation,2)</f>
        <v>Supplier Self-Assessment</v>
      </c>
      <c r="B1" s="670"/>
      <c r="C1" s="670"/>
      <c r="D1" s="670"/>
      <c r="E1" s="670"/>
      <c r="F1" s="670"/>
      <c r="G1" s="25"/>
      <c r="N1" s="1"/>
    </row>
    <row r="2" spans="1:31" ht="8.25" customHeight="1" thickBot="1">
      <c r="N2" s="1"/>
    </row>
    <row r="3" spans="1:31" ht="15.75" customHeight="1" thickBot="1">
      <c r="A3" s="745" t="s">
        <v>398</v>
      </c>
      <c r="B3" s="493"/>
      <c r="C3" s="493" t="str">
        <f>HLOOKUP(Language,Translation,135)</f>
        <v>Social Responsibility</v>
      </c>
      <c r="D3" s="493"/>
      <c r="E3" s="493"/>
      <c r="F3" s="493"/>
      <c r="G3" s="494"/>
      <c r="N3" s="1"/>
    </row>
    <row r="4" spans="1:31" ht="9" customHeight="1" thickBot="1">
      <c r="A4" s="79"/>
      <c r="B4" s="80"/>
      <c r="C4" s="80"/>
      <c r="D4" s="80"/>
      <c r="E4" s="80"/>
      <c r="F4" s="80"/>
      <c r="G4" s="80"/>
      <c r="N4" s="1"/>
    </row>
    <row r="5" spans="1:31" ht="15.75" customHeight="1" thickBot="1">
      <c r="A5" s="81">
        <v>1</v>
      </c>
      <c r="B5" s="746" t="str">
        <f>HLOOKUP(Language,Translation,136)</f>
        <v>Information on external social responsibility rating</v>
      </c>
      <c r="C5" s="746"/>
      <c r="D5" s="746"/>
      <c r="E5" s="746"/>
      <c r="F5" s="746"/>
      <c r="G5" s="747"/>
      <c r="N5" s="1"/>
    </row>
    <row r="6" spans="1:31" ht="54" customHeight="1">
      <c r="A6" s="751" t="s">
        <v>35</v>
      </c>
      <c r="B6" s="748" t="str">
        <f>HLOOKUP(Language,Translation,137)</f>
        <v>Do you have any completed external questionnaire concerning sustainability (e.g. NQC, EcoVadis, etc.)? Have you obtained any external rating?  If you have already completed a questionnaire for an other automotive customer and want to share the rating instead completing Section E of this Self-Assessment Questionnaire, please provide evidence about the obtained sustainability rating.</v>
      </c>
      <c r="C6" s="749"/>
      <c r="D6" s="749"/>
      <c r="E6" s="749"/>
      <c r="F6" s="749"/>
      <c r="G6" s="750"/>
      <c r="N6" s="1"/>
    </row>
    <row r="7" spans="1:31" ht="18.75" customHeight="1">
      <c r="A7" s="752"/>
      <c r="B7" s="754" t="str">
        <f>HLOOKUP(Language,Translation,138)</f>
        <v>Third-Party Sustainability Rating is attached.</v>
      </c>
      <c r="C7" s="755"/>
      <c r="D7" s="755"/>
      <c r="E7" s="755"/>
      <c r="F7" s="595" t="s">
        <v>118</v>
      </c>
      <c r="G7" s="758"/>
      <c r="N7" s="1"/>
    </row>
    <row r="8" spans="1:31" ht="18.75" customHeight="1" thickBot="1">
      <c r="A8" s="753"/>
      <c r="B8" s="756"/>
      <c r="C8" s="757"/>
      <c r="D8" s="757"/>
      <c r="E8" s="757"/>
      <c r="F8" s="759" t="str">
        <f>IF(F7&lt;&gt;'Language table'!$B$3,HLOOKUP(Language,Translation,114),"")</f>
        <v/>
      </c>
      <c r="G8" s="760"/>
      <c r="N8" s="1"/>
    </row>
    <row r="9" spans="1:31" ht="8.25" customHeight="1" thickBot="1">
      <c r="N9" s="1"/>
    </row>
    <row r="10" spans="1:31" s="30" customFormat="1" ht="15.75" customHeight="1" thickBot="1">
      <c r="A10" s="82">
        <v>2</v>
      </c>
      <c r="B10" s="721" t="str">
        <f>HLOOKUP(Language,Translation,140)</f>
        <v>Information on social responsibility and legal compliance</v>
      </c>
      <c r="C10" s="721"/>
      <c r="D10" s="721"/>
      <c r="E10" s="721"/>
      <c r="F10" s="721"/>
      <c r="G10" s="739"/>
    </row>
    <row r="11" spans="1:31" s="83" customFormat="1" ht="143.25" customHeight="1" thickBot="1">
      <c r="A11" s="741" t="s">
        <v>34</v>
      </c>
      <c r="B11" s="764" t="str">
        <f>HLOOKUP(Language,Translation,141)</f>
        <v>All companies of the Benteler Group (hereafter called “BENTELER”) expect from their suppliers to comply with at least those ethical standards to which all companies of the BENTELER Group have themselves committed to. If you do not have the latest version of BENTELER’s code of conduct, you can download it yourself from the homepage of the BENTELER Group (www.benteler.com)
You must confirm in writing compliance with ethical standards in line with BENTELER’s code of conduct. This is a pre-requisite for supplier selection; but does not mean that your company will be selected automatically in this way. This is one of several conditions which are checked by BENTELER during the supplier nomination process. 
If you have not yet submitted the confirmation, please contact your buyer at BENTELER and ask for the current template.</v>
      </c>
      <c r="C11" s="765"/>
      <c r="D11" s="765"/>
      <c r="E11" s="765"/>
      <c r="F11" s="765"/>
      <c r="G11" s="766"/>
      <c r="N11" s="30"/>
    </row>
    <row r="12" spans="1:31" s="83" customFormat="1" ht="15.75" customHeight="1">
      <c r="A12" s="742"/>
      <c r="B12" s="767"/>
      <c r="C12" s="768"/>
      <c r="D12" s="768"/>
      <c r="E12" s="112" t="str">
        <f>HLOOKUP(Language,Translation,191)</f>
        <v>Rating</v>
      </c>
      <c r="F12" s="769" t="str">
        <f>HLOOKUP(Language,Translation,42)</f>
        <v>Comments</v>
      </c>
      <c r="G12" s="770"/>
      <c r="N12" s="30"/>
    </row>
    <row r="13" spans="1:31" s="84" customFormat="1" ht="53.25" customHeight="1">
      <c r="A13" s="743"/>
      <c r="B13" s="706" t="str">
        <f>HLOOKUP(Language,Translation,142)</f>
        <v>Has your company established an own Code of Conduct and the principles of it at least match with the principles of BENTELER? If yes, please provide evidence.</v>
      </c>
      <c r="C13" s="706"/>
      <c r="D13" s="740"/>
      <c r="E13" s="108" t="s">
        <v>118</v>
      </c>
      <c r="F13" s="697"/>
      <c r="G13" s="698"/>
      <c r="N13" s="198"/>
    </row>
    <row r="14" spans="1:31" s="83" customFormat="1" ht="30" customHeight="1">
      <c r="A14" s="85" t="s">
        <v>36</v>
      </c>
      <c r="B14" s="744" t="str">
        <f>HLOOKUP(Language,Translation,143)</f>
        <v>Do you train your employees to raise the understanding of CSR/Sustainability?</v>
      </c>
      <c r="C14" s="744"/>
      <c r="D14" s="744"/>
      <c r="E14" s="108" t="s">
        <v>118</v>
      </c>
      <c r="F14" s="697"/>
      <c r="G14" s="698"/>
      <c r="N14" s="30"/>
    </row>
    <row r="15" spans="1:31" s="84" customFormat="1" ht="18.75" customHeight="1">
      <c r="A15" s="85" t="s">
        <v>38</v>
      </c>
      <c r="B15" s="705" t="str">
        <f>HLOOKUP(Language,Translation,144)</f>
        <v>References: ILO Conventions 59, 79, 138, 142, 182 – Prohibition of child work</v>
      </c>
      <c r="C15" s="706"/>
      <c r="D15" s="706"/>
      <c r="E15" s="706"/>
      <c r="F15" s="706"/>
      <c r="G15" s="707"/>
      <c r="I15" s="198"/>
      <c r="N15" s="198"/>
      <c r="AE15" s="199"/>
    </row>
    <row r="16" spans="1:31" s="84" customFormat="1" ht="45" customHeight="1">
      <c r="A16" s="86"/>
      <c r="B16" s="702" t="str">
        <f>HLOOKUP(Language,Translation,145)</f>
        <v>Is it in particular forbidden in your company to apply child work (child work according to the terms of the national law)?</v>
      </c>
      <c r="C16" s="703"/>
      <c r="D16" s="704"/>
      <c r="E16" s="108" t="s">
        <v>118</v>
      </c>
      <c r="F16" s="697"/>
      <c r="G16" s="698"/>
      <c r="I16" s="198"/>
      <c r="N16" s="198"/>
    </row>
    <row r="17" spans="1:10" s="84" customFormat="1" ht="18.75" customHeight="1">
      <c r="A17" s="87" t="s">
        <v>40</v>
      </c>
      <c r="B17" s="705" t="str">
        <f>HLOOKUP(Language,Translation,146)</f>
        <v>References: ILO Conventions 29, 105 – Prohibition of forced labor and disciplinary punitive measures and LkSG</v>
      </c>
      <c r="C17" s="706"/>
      <c r="D17" s="706"/>
      <c r="E17" s="706"/>
      <c r="F17" s="706"/>
      <c r="G17" s="707"/>
    </row>
    <row r="18" spans="1:10" s="84" customFormat="1" ht="30" customHeight="1">
      <c r="A18" s="88"/>
      <c r="B18" s="702" t="str">
        <f>HLOOKUP(Language,Translation,147)</f>
        <v>Is it prohibited in your company to apply any type of forced labor including, but not limited to modern slavery?</v>
      </c>
      <c r="C18" s="703"/>
      <c r="D18" s="704"/>
      <c r="E18" s="108" t="s">
        <v>118</v>
      </c>
      <c r="F18" s="697"/>
      <c r="G18" s="698"/>
    </row>
    <row r="19" spans="1:10" s="84" customFormat="1" ht="30" customHeight="1">
      <c r="A19" s="87" t="s">
        <v>41</v>
      </c>
      <c r="B19" s="705" t="str">
        <f>HLOOKUP(Language,Translation,148)</f>
        <v>References: ILO Conventions 87, 98, 135, 154 – Freedom of association</v>
      </c>
      <c r="C19" s="706"/>
      <c r="D19" s="706"/>
      <c r="E19" s="706"/>
      <c r="F19" s="706"/>
      <c r="G19" s="707"/>
    </row>
    <row r="20" spans="1:10" s="84" customFormat="1" ht="30" customHeight="1">
      <c r="A20" s="88"/>
      <c r="B20" s="702" t="str">
        <f>HLOOKUP(Language,Translation,149)</f>
        <v>Is Freedom of Association in accordance with national laws given in your company?</v>
      </c>
      <c r="C20" s="703"/>
      <c r="D20" s="704"/>
      <c r="E20" s="108" t="s">
        <v>118</v>
      </c>
      <c r="F20" s="697"/>
      <c r="G20" s="698"/>
    </row>
    <row r="21" spans="1:10" s="84" customFormat="1" ht="18.75" customHeight="1">
      <c r="A21" s="233" t="s">
        <v>1641</v>
      </c>
      <c r="B21" s="699" t="str">
        <f>HLOOKUP(Language,Translation,283)</f>
        <v xml:space="preserve">Reference: LkSG </v>
      </c>
      <c r="C21" s="700"/>
      <c r="D21" s="700"/>
      <c r="E21" s="700"/>
      <c r="F21" s="700"/>
      <c r="G21" s="701"/>
    </row>
    <row r="22" spans="1:10" s="84" customFormat="1" ht="66" customHeight="1">
      <c r="A22" s="88"/>
      <c r="B22" s="702" t="str">
        <f>HLOOKUP(Language,Translation,284)</f>
        <v xml:space="preserve">Does your company forbid unlawful evictions and unlawful deprivations of land, forest or bodies of water, as well as forbid the usage of land, forest and bodies of water which are substantial to the livelihood of people? </v>
      </c>
      <c r="C22" s="703"/>
      <c r="D22" s="704"/>
      <c r="E22" s="108" t="s">
        <v>118</v>
      </c>
      <c r="F22" s="697"/>
      <c r="G22" s="698"/>
    </row>
    <row r="23" spans="1:10" s="84" customFormat="1" ht="18.75" customHeight="1">
      <c r="A23" s="233" t="s">
        <v>1642</v>
      </c>
      <c r="B23" s="699" t="str">
        <f>HLOOKUP(Language,Translation,283)</f>
        <v xml:space="preserve">Reference: LkSG </v>
      </c>
      <c r="C23" s="700"/>
      <c r="D23" s="700"/>
      <c r="E23" s="700"/>
      <c r="F23" s="700"/>
      <c r="G23" s="701"/>
    </row>
    <row r="24" spans="1:10" s="84" customFormat="1" ht="117" customHeight="1" thickBot="1">
      <c r="A24" s="89"/>
      <c r="B24" s="723" t="str">
        <f>HLOOKUP(Language,Translation,285)</f>
        <v xml:space="preserve">BENTELER's Suppliers shall comply with environmental requirements set forth in laws and regulations mandatory for a business relationship with BENTELER (e.g.Minamata Convention, Basel Convention, Stockholm Convention, POPs Convention) as is detailed in the Supplier Code of Conduct, Section ENVIRONMENT. Can you confirm with reasonable certainty, that your company abides by the principles established in Section ENVIRONMENT of the BENTELER Supplier Code of Conduct?  </v>
      </c>
      <c r="C24" s="724"/>
      <c r="D24" s="725"/>
      <c r="E24" s="114" t="s">
        <v>118</v>
      </c>
      <c r="F24" s="728"/>
      <c r="G24" s="729"/>
    </row>
    <row r="25" spans="1:10" s="84" customFormat="1" ht="8.25" customHeight="1" thickBot="1">
      <c r="A25" s="90"/>
      <c r="B25" s="91"/>
      <c r="C25" s="91"/>
      <c r="D25" s="92"/>
      <c r="E25" s="113"/>
      <c r="F25" s="93"/>
      <c r="G25" s="93"/>
    </row>
    <row r="26" spans="1:10" s="83" customFormat="1" ht="15.75" customHeight="1" thickBot="1">
      <c r="A26" s="82">
        <v>3</v>
      </c>
      <c r="B26" s="721" t="str">
        <f>HLOOKUP(Language,Translation,150)</f>
        <v>Managing people</v>
      </c>
      <c r="C26" s="721"/>
      <c r="D26" s="721"/>
      <c r="E26" s="721"/>
      <c r="F26" s="721"/>
      <c r="G26" s="739"/>
    </row>
    <row r="27" spans="1:10" s="83" customFormat="1" ht="30" customHeight="1">
      <c r="A27" s="94" t="s">
        <v>42</v>
      </c>
      <c r="B27" s="715" t="str">
        <f>HLOOKUP(Language,Translation,151)</f>
        <v>Employees must be informed in writing about their rights and duties within the company and towards their employer. In particular working time, vacation and remuneration are agreed in writing.</v>
      </c>
      <c r="C27" s="716"/>
      <c r="D27" s="716"/>
      <c r="E27" s="716"/>
      <c r="F27" s="716"/>
      <c r="G27" s="717"/>
      <c r="J27" s="95"/>
    </row>
    <row r="28" spans="1:10" s="84" customFormat="1" ht="30" customHeight="1">
      <c r="A28" s="88"/>
      <c r="B28" s="702" t="str">
        <f>HLOOKUP(Language,Translation,152)</f>
        <v>Has your company concluded working contracts with all your employees?</v>
      </c>
      <c r="C28" s="703"/>
      <c r="D28" s="704"/>
      <c r="E28" s="108" t="s">
        <v>118</v>
      </c>
      <c r="F28" s="697"/>
      <c r="G28" s="698"/>
    </row>
    <row r="29" spans="1:10" s="84" customFormat="1" ht="18.75" customHeight="1">
      <c r="A29" s="87" t="s">
        <v>43</v>
      </c>
      <c r="B29" s="705" t="str">
        <f>HLOOKUP(Language,Translation,153)</f>
        <v>References: ILO Conventions 1, 14 – Working and resting time</v>
      </c>
      <c r="C29" s="706"/>
      <c r="D29" s="706"/>
      <c r="E29" s="706"/>
      <c r="F29" s="706"/>
      <c r="G29" s="707"/>
    </row>
    <row r="30" spans="1:10" s="84" customFormat="1" ht="45" customHeight="1">
      <c r="A30" s="88"/>
      <c r="B30" s="702" t="str">
        <f>HLOOKUP(Language,Translation,154)</f>
        <v>Is the working time in your company in line with national law and the national standards of the concerned industrial sector?</v>
      </c>
      <c r="C30" s="703"/>
      <c r="D30" s="704"/>
      <c r="E30" s="108" t="s">
        <v>118</v>
      </c>
      <c r="F30" s="697"/>
      <c r="G30" s="698"/>
    </row>
    <row r="31" spans="1:10" s="84" customFormat="1" ht="18.75" customHeight="1">
      <c r="A31" s="87" t="s">
        <v>46</v>
      </c>
      <c r="B31" s="705" t="str">
        <f>HLOOKUP(Language,Translation,155)</f>
        <v>References: ILO Conventions 100, 111, 143, 158, 159 – Non discrimination rule and LkSG</v>
      </c>
      <c r="C31" s="706"/>
      <c r="D31" s="706"/>
      <c r="E31" s="706"/>
      <c r="F31" s="706"/>
      <c r="G31" s="707"/>
    </row>
    <row r="32" spans="1:10" s="84" customFormat="1" ht="81" customHeight="1">
      <c r="A32" s="88"/>
      <c r="B32" s="702" t="str">
        <f>HLOOKUP(Language,Translation,156)</f>
        <v>Can you exclude with reasonable certainty, that members of minority groups are discriminated based on social or demographic characteristics (e.g. ethnicity, sexual orientation, religion, political view etc.) in any kind of way in your company?</v>
      </c>
      <c r="C32" s="703"/>
      <c r="D32" s="704"/>
      <c r="E32" s="108" t="s">
        <v>118</v>
      </c>
      <c r="F32" s="697"/>
      <c r="G32" s="698"/>
    </row>
    <row r="33" spans="1:7" s="84" customFormat="1" ht="18.75" customHeight="1">
      <c r="A33" s="87" t="s">
        <v>96</v>
      </c>
      <c r="B33" s="705" t="str">
        <f>HLOOKUP(Language,Translation,157)</f>
        <v>References: ILO Conventions 26, 131 – Minimum Income</v>
      </c>
      <c r="C33" s="706"/>
      <c r="D33" s="706"/>
      <c r="E33" s="706"/>
      <c r="F33" s="706"/>
      <c r="G33" s="707"/>
    </row>
    <row r="34" spans="1:7" s="84" customFormat="1" ht="30" customHeight="1">
      <c r="A34" s="88"/>
      <c r="B34" s="702" t="str">
        <f>HLOOKUP(Language,Translation,158)</f>
        <v>Do all employees of your company earn at least the minimum statutory income?</v>
      </c>
      <c r="C34" s="703"/>
      <c r="D34" s="704"/>
      <c r="E34" s="108" t="s">
        <v>118</v>
      </c>
      <c r="F34" s="697"/>
      <c r="G34" s="698"/>
    </row>
    <row r="35" spans="1:7" s="84" customFormat="1" ht="18.75" customHeight="1">
      <c r="A35" s="87" t="s">
        <v>95</v>
      </c>
      <c r="B35" s="705" t="str">
        <f>HLOOKUP(Language,Translation,159)</f>
        <v>Reference: ILO Convention 132 – Paid vacation</v>
      </c>
      <c r="C35" s="706"/>
      <c r="D35" s="706"/>
      <c r="E35" s="706"/>
      <c r="F35" s="706"/>
      <c r="G35" s="707"/>
    </row>
    <row r="36" spans="1:7" s="84" customFormat="1" ht="30" customHeight="1">
      <c r="A36" s="88"/>
      <c r="B36" s="702" t="str">
        <f>HLOOKUP(Language,Translation,160)</f>
        <v>Does your company grant paid vacation to all employees?</v>
      </c>
      <c r="C36" s="703"/>
      <c r="D36" s="704"/>
      <c r="E36" s="108" t="s">
        <v>118</v>
      </c>
      <c r="F36" s="697"/>
      <c r="G36" s="698"/>
    </row>
    <row r="37" spans="1:7" s="84" customFormat="1" ht="18.75" customHeight="1">
      <c r="A37" s="87" t="s">
        <v>193</v>
      </c>
      <c r="B37" s="705" t="str">
        <f>HLOOKUP(Language,Translation,161)</f>
        <v>Reference: ILO Convention 155 – Workplace health and safety</v>
      </c>
      <c r="C37" s="706"/>
      <c r="D37" s="706"/>
      <c r="E37" s="706"/>
      <c r="F37" s="706"/>
      <c r="G37" s="707"/>
    </row>
    <row r="38" spans="1:7" s="84" customFormat="1" ht="45" customHeight="1">
      <c r="A38" s="88"/>
      <c r="B38" s="702" t="str">
        <f>HLOOKUP(Language,Translation,162)</f>
        <v xml:space="preserve">Are your employees informed about the potential hazards and risks of their work and instructed about the corresponding safety measures?  </v>
      </c>
      <c r="C38" s="703"/>
      <c r="D38" s="704"/>
      <c r="E38" s="108" t="s">
        <v>118</v>
      </c>
      <c r="F38" s="697"/>
      <c r="G38" s="698"/>
    </row>
    <row r="39" spans="1:7" s="84" customFormat="1" ht="18.75" customHeight="1">
      <c r="A39" s="233" t="s">
        <v>1648</v>
      </c>
      <c r="B39" s="699" t="str">
        <f>HLOOKUP(Language,Translation,283)</f>
        <v xml:space="preserve">Reference: LkSG </v>
      </c>
      <c r="C39" s="700"/>
      <c r="D39" s="700"/>
      <c r="E39" s="700"/>
      <c r="F39" s="700"/>
      <c r="G39" s="701"/>
    </row>
    <row r="40" spans="1:7" s="84" customFormat="1" ht="79.5" customHeight="1" thickBot="1">
      <c r="A40" s="89"/>
      <c r="B40" s="723" t="str">
        <f>HLOOKUP(Language,Translation,286)</f>
        <v xml:space="preserve">Does your company have measures to ensure workers are treated humanely and respectfully? 
Brutal or inhumane treatment of workers is prohibited. These prohibitions also apply when internal and external security forces are deployed.  </v>
      </c>
      <c r="C40" s="724"/>
      <c r="D40" s="725"/>
      <c r="E40" s="114" t="s">
        <v>118</v>
      </c>
      <c r="F40" s="728"/>
      <c r="G40" s="729"/>
    </row>
    <row r="41" spans="1:7" s="84" customFormat="1" ht="8.25" customHeight="1" thickBot="1">
      <c r="A41" s="90"/>
      <c r="B41" s="91"/>
      <c r="C41" s="91"/>
      <c r="D41" s="92"/>
      <c r="E41" s="92"/>
      <c r="F41" s="93"/>
      <c r="G41" s="93"/>
    </row>
    <row r="42" spans="1:7" s="83" customFormat="1" ht="15.75" customHeight="1" thickBot="1">
      <c r="A42" s="82">
        <v>4</v>
      </c>
      <c r="B42" s="721" t="str">
        <f>HLOOKUP(Language,Translation,163)</f>
        <v>Information on fair competition</v>
      </c>
      <c r="C42" s="721"/>
      <c r="D42" s="721"/>
      <c r="E42" s="721"/>
      <c r="F42" s="721"/>
      <c r="G42" s="739"/>
    </row>
    <row r="43" spans="1:7" s="83" customFormat="1" ht="90" customHeight="1">
      <c r="A43" s="96" t="s">
        <v>44</v>
      </c>
      <c r="B43" s="715" t="str">
        <f>HLOOKUP(Language,Translation,164)</f>
        <v>Antitrust law aims at protecting a free market system based on supply and demand, which is one of the core principles of our society and our economy and which generates growth and creates jobs. Laws are there to prevent restrictions of competition and establish the same set of rules for all market players. Companies are responsible for ensuring compliance with these regulations. Failure to comply with these laws may result in criminal and administrative fines, imprisonment, and civil suits for damages against the company, its individual officers, directors and employees involved. The amount of damages and fines can threaten the continued existence for the company.</v>
      </c>
      <c r="C43" s="716"/>
      <c r="D43" s="716"/>
      <c r="E43" s="716"/>
      <c r="F43" s="716"/>
      <c r="G43" s="717"/>
    </row>
    <row r="44" spans="1:7" s="84" customFormat="1" ht="45" customHeight="1" thickBot="1">
      <c r="A44" s="89"/>
      <c r="B44" s="723" t="str">
        <f>HLOOKUP(Language,Translation,165)</f>
        <v>Do programs or processes exist in your company in order to avoid breaches of Antitrust Law and to support fair competition?</v>
      </c>
      <c r="C44" s="724"/>
      <c r="D44" s="725"/>
      <c r="E44" s="114" t="s">
        <v>118</v>
      </c>
      <c r="F44" s="728"/>
      <c r="G44" s="729"/>
    </row>
    <row r="45" spans="1:7" s="84" customFormat="1" ht="8.25" customHeight="1" thickBot="1">
      <c r="A45" s="97"/>
      <c r="B45" s="91"/>
      <c r="C45" s="91"/>
      <c r="D45" s="92"/>
      <c r="E45" s="92"/>
      <c r="F45" s="93"/>
      <c r="G45" s="93"/>
    </row>
    <row r="46" spans="1:7" s="83" customFormat="1" ht="15.75" customHeight="1" thickBot="1">
      <c r="A46" s="82">
        <v>5</v>
      </c>
      <c r="B46" s="721" t="str">
        <f>HLOOKUP(Language,Translation,166)</f>
        <v>Information about the prevention of corruption</v>
      </c>
      <c r="C46" s="721"/>
      <c r="D46" s="721"/>
      <c r="E46" s="721"/>
      <c r="F46" s="721"/>
      <c r="G46" s="739"/>
    </row>
    <row r="47" spans="1:7" s="83" customFormat="1" ht="90" customHeight="1">
      <c r="A47" s="96" t="s">
        <v>47</v>
      </c>
      <c r="B47" s="715" t="str">
        <f>HLOOKUP(Language,Translation,167)</f>
        <v>Corruption is largely banned worldwide. Corruption leads to economic decisions that are not made according to the free play of supply and demand, but by the abuse of personal power to the private benefit of the actors to the detriment of the companies concerned. The consequences are inter alia excessive and unstable prices, lower quality and consequential damages, low innovation and long-term decline in competitiveness within the industry.
Companies should have taken precautions to protect themselves and their employees against corruption in order to ensure a sustainable existence of the corporation.</v>
      </c>
      <c r="C47" s="716"/>
      <c r="D47" s="716"/>
      <c r="E47" s="716"/>
      <c r="F47" s="716"/>
      <c r="G47" s="717"/>
    </row>
    <row r="48" spans="1:7" s="84" customFormat="1" ht="45" customHeight="1" thickBot="1">
      <c r="A48" s="98"/>
      <c r="B48" s="736" t="str">
        <f>HLOOKUP(Language,Translation,168)</f>
        <v>Do programs or processes exist in your company in order to prevent corruption, bribery and granting gifts disproportionally?</v>
      </c>
      <c r="C48" s="737"/>
      <c r="D48" s="738"/>
      <c r="E48" s="114" t="s">
        <v>118</v>
      </c>
      <c r="F48" s="728"/>
      <c r="G48" s="729"/>
    </row>
    <row r="49" spans="1:31" s="84" customFormat="1" ht="8.25" customHeight="1" thickBot="1">
      <c r="A49" s="97"/>
      <c r="B49" s="91"/>
      <c r="C49" s="91"/>
      <c r="D49" s="92"/>
      <c r="E49" s="92"/>
      <c r="F49" s="93"/>
      <c r="G49" s="93"/>
    </row>
    <row r="50" spans="1:31" s="83" customFormat="1" ht="15.75" customHeight="1" thickBot="1">
      <c r="A50" s="82">
        <v>6</v>
      </c>
      <c r="B50" s="721" t="str">
        <f>HLOOKUP(Language,Translation,169)</f>
        <v>Data Protection</v>
      </c>
      <c r="C50" s="721"/>
      <c r="D50" s="721"/>
      <c r="E50" s="721"/>
      <c r="F50" s="721"/>
      <c r="G50" s="739"/>
    </row>
    <row r="51" spans="1:31" s="83" customFormat="1" ht="78" customHeight="1">
      <c r="A51" s="94" t="s">
        <v>51</v>
      </c>
      <c r="B51" s="715" t="str">
        <f>HLOOKUP(Language,Translation,170)</f>
        <v>BENTELER expects that all exchanged data are kept confidential unless the data have already been published elsewhere at the time of exchange; even if the parties (BENTELER and supplier / service provider) have not concluded a general or project specific confidentiality agreement, yet. That can only be guaranteed if all your employees who have access to these data observe their duty to keep business related data confidential and have been pledged in writing by the employer to general secrecy.</v>
      </c>
      <c r="C51" s="716"/>
      <c r="D51" s="716"/>
      <c r="E51" s="716"/>
      <c r="F51" s="716"/>
      <c r="G51" s="717"/>
    </row>
    <row r="52" spans="1:31" s="84" customFormat="1" ht="56.25" customHeight="1">
      <c r="A52" s="88"/>
      <c r="B52" s="705" t="str">
        <f>HLOOKUP(Language,Translation,171)</f>
        <v>Are all employees of your company pledged to keep secrets concerning the company and their work confidential and also pledged not to make such secrets public to any third party in any kind of way?</v>
      </c>
      <c r="C52" s="706"/>
      <c r="D52" s="740"/>
      <c r="E52" s="108" t="s">
        <v>118</v>
      </c>
      <c r="F52" s="697"/>
      <c r="G52" s="698"/>
    </row>
    <row r="53" spans="1:31" s="84" customFormat="1" ht="30" customHeight="1">
      <c r="A53" s="87" t="s">
        <v>195</v>
      </c>
      <c r="B53" s="705" t="str">
        <f>HLOOKUP(Language,Translation,172)</f>
        <v>The use of unlicensed software is prohibited. The intellectual owner of the software can prohibit the use of products made directly or indirectly by the use his or her software.</v>
      </c>
      <c r="C53" s="706"/>
      <c r="D53" s="706"/>
      <c r="E53" s="706"/>
      <c r="F53" s="706"/>
      <c r="G53" s="707"/>
      <c r="H53" s="198"/>
      <c r="I53" s="198"/>
    </row>
    <row r="54" spans="1:31" s="84" customFormat="1" ht="39.75" customHeight="1" thickBot="1">
      <c r="A54" s="89"/>
      <c r="B54" s="723" t="str">
        <f>HLOOKUP(Language,Translation,173)</f>
        <v>Is all computer software used in your company (excluding self-made software) licensed?</v>
      </c>
      <c r="C54" s="724"/>
      <c r="D54" s="725"/>
      <c r="E54" s="114" t="s">
        <v>118</v>
      </c>
      <c r="F54" s="728"/>
      <c r="G54" s="729"/>
      <c r="AE54" s="199"/>
    </row>
    <row r="55" spans="1:31" s="84" customFormat="1" ht="8.25" customHeight="1" thickBot="1">
      <c r="A55" s="90"/>
      <c r="B55" s="91"/>
      <c r="C55" s="91"/>
      <c r="D55" s="113"/>
      <c r="E55" s="113"/>
      <c r="F55" s="201"/>
      <c r="G55" s="201"/>
    </row>
    <row r="56" spans="1:31" s="83" customFormat="1" ht="15.75" customHeight="1" thickBot="1">
      <c r="A56" s="82">
        <v>7</v>
      </c>
      <c r="B56" s="721" t="str">
        <f>HLOOKUP(Language,Translation,176)</f>
        <v>Information on supplier management</v>
      </c>
      <c r="C56" s="721"/>
      <c r="D56" s="721"/>
      <c r="E56" s="721"/>
      <c r="F56" s="721"/>
      <c r="G56" s="739"/>
      <c r="AE56" s="84"/>
    </row>
    <row r="57" spans="1:31" s="83" customFormat="1" ht="54" customHeight="1">
      <c r="A57" s="96" t="s">
        <v>219</v>
      </c>
      <c r="B57" s="715" t="str">
        <f>HLOOKUP(Language,Translation,177)</f>
        <v>It shall be ensured that all companies within BENTELER's supply chain from the very beginning until the final client adhere to the applicable laws and observe ethical minimum standards such as outlined in BENTELER’s code of conduct for example. Each company within the supply chain shall contribute as best as possible to achieve this target.</v>
      </c>
      <c r="C57" s="716"/>
      <c r="D57" s="716"/>
      <c r="E57" s="716"/>
      <c r="F57" s="716"/>
      <c r="G57" s="717"/>
      <c r="I57" s="198"/>
      <c r="AE57" s="84"/>
    </row>
    <row r="58" spans="1:31" s="84" customFormat="1" ht="54" customHeight="1" thickBot="1">
      <c r="A58" s="99"/>
      <c r="B58" s="723" t="str">
        <f>HLOOKUP(Language,Translation,178)</f>
        <v>Does your company also require your suppliers to maintain corporate social responsibility standards within the entire supply chain? If yes, please provide evidence.</v>
      </c>
      <c r="C58" s="724"/>
      <c r="D58" s="725"/>
      <c r="E58" s="114" t="s">
        <v>118</v>
      </c>
      <c r="F58" s="728"/>
      <c r="G58" s="729"/>
    </row>
    <row r="59" spans="1:31" s="84" customFormat="1" ht="8.25" customHeight="1" thickBot="1">
      <c r="A59" s="100"/>
      <c r="B59" s="101"/>
      <c r="C59" s="101"/>
      <c r="D59" s="101"/>
      <c r="E59" s="74"/>
      <c r="F59" s="74"/>
      <c r="G59" s="74"/>
    </row>
    <row r="60" spans="1:31" s="84" customFormat="1" ht="15.75" customHeight="1" thickBot="1">
      <c r="A60" s="82">
        <v>8</v>
      </c>
      <c r="B60" s="721" t="str">
        <f>HLOOKUP(Language,Translation,179)</f>
        <v>Information on export control</v>
      </c>
      <c r="C60" s="721"/>
      <c r="D60" s="721"/>
      <c r="E60" s="102"/>
      <c r="F60" s="102"/>
      <c r="G60" s="103"/>
    </row>
    <row r="61" spans="1:31" s="84" customFormat="1" ht="65.25" customHeight="1">
      <c r="A61" s="96" t="s">
        <v>198</v>
      </c>
      <c r="B61" s="715" t="str">
        <f>HLOOKUP(Language,Translation,180)</f>
        <v xml:space="preserve">Any violation of export regulations may lead to significant consequences for the BENTELER Group and its responsible executives and employees. Each company in the BENTELER supply chain must comply with international and national trade laws. Your responsible employees must recognize, understand and comply with all applicable laws, regulations and directives to control international trade and financial transactions. 
</v>
      </c>
      <c r="C61" s="716"/>
      <c r="D61" s="716"/>
      <c r="E61" s="716"/>
      <c r="F61" s="716"/>
      <c r="G61" s="717"/>
      <c r="I61" s="198"/>
    </row>
    <row r="62" spans="1:31" s="84" customFormat="1" ht="18.75" customHeight="1">
      <c r="A62" s="104"/>
      <c r="B62" s="705" t="str">
        <f>HLOOKUP(Language,Translation,181)</f>
        <v>References: www.wassenaar.org; www.nuclearsuppliergroup.org; www.australiagroup.net; www.mtcr.info</v>
      </c>
      <c r="C62" s="706"/>
      <c r="D62" s="706"/>
      <c r="E62" s="706"/>
      <c r="F62" s="706"/>
      <c r="G62" s="707"/>
    </row>
    <row r="63" spans="1:31" s="84" customFormat="1" ht="54.75" customHeight="1">
      <c r="A63" s="86"/>
      <c r="B63" s="702" t="str">
        <f>HLOOKUP(Language,Translation,182)</f>
        <v>Do you have an export control system in place at least covering trade restrictions (e.g. embargos, dual use goods, goods on commerce control lists, etc.)?</v>
      </c>
      <c r="C63" s="703"/>
      <c r="D63" s="704"/>
      <c r="E63" s="108" t="s">
        <v>118</v>
      </c>
      <c r="F63" s="697"/>
      <c r="G63" s="698"/>
    </row>
    <row r="64" spans="1:31" s="84" customFormat="1" ht="54" customHeight="1">
      <c r="A64" s="104" t="s">
        <v>200</v>
      </c>
      <c r="B64" s="711" t="str">
        <f>HLOOKUP(Language,Translation,183)</f>
        <v>Do you have a qualified person within your organization in charge of export control matters? If yes, please provide name and e-mail address. Please inform us about any changes.</v>
      </c>
      <c r="C64" s="712"/>
      <c r="D64" s="713"/>
      <c r="E64" s="208" t="s">
        <v>118</v>
      </c>
      <c r="F64" s="730"/>
      <c r="G64" s="731"/>
      <c r="I64" s="198"/>
    </row>
    <row r="65" spans="1:9" s="84" customFormat="1" ht="27.75" customHeight="1" thickBot="1">
      <c r="A65" s="732" t="str">
        <f>HLOOKUP(Language,Translation,22)&amp;":"</f>
        <v>Name:</v>
      </c>
      <c r="B65" s="733"/>
      <c r="C65" s="734" t="str">
        <f>IF('A Company Profile'!C38="",HLOOKUP(Language,Translation,270),'A Company Profile'!C38)</f>
        <v>Please enter in Section A!</v>
      </c>
      <c r="D65" s="734"/>
      <c r="E65" s="209" t="str">
        <f>HLOOKUP(Language,Translation,16)</f>
        <v>E-mail address:</v>
      </c>
      <c r="F65" s="734" t="str">
        <f>IF('A Company Profile'!F38="",HLOOKUP(Language,Translation,270),'A Company Profile'!F38)</f>
        <v>Please enter in Section A!</v>
      </c>
      <c r="G65" s="735"/>
      <c r="I65" s="198"/>
    </row>
    <row r="66" spans="1:9" s="84" customFormat="1" ht="8.25" customHeight="1" thickBot="1">
      <c r="A66" s="100"/>
      <c r="B66" s="101"/>
      <c r="C66" s="101"/>
      <c r="D66" s="101"/>
      <c r="E66" s="74"/>
      <c r="F66" s="74"/>
      <c r="G66" s="74"/>
    </row>
    <row r="67" spans="1:9" s="84" customFormat="1" ht="15.75" customHeight="1" thickBot="1">
      <c r="A67" s="82">
        <v>9</v>
      </c>
      <c r="B67" s="721" t="str">
        <f>HLOOKUP(Language,Translation,184)</f>
        <v>Information on breaches and infrangements</v>
      </c>
      <c r="C67" s="721"/>
      <c r="D67" s="721"/>
      <c r="E67" s="721"/>
      <c r="F67" s="721"/>
      <c r="G67" s="739"/>
    </row>
    <row r="68" spans="1:9" s="84" customFormat="1" ht="93" customHeight="1" thickBot="1">
      <c r="A68" s="105" t="s">
        <v>220</v>
      </c>
      <c r="B68" s="708" t="str">
        <f>HLOOKUP(Language,Translation,185)</f>
        <v>Can you confirm that your company has not been convicted to pay fine or penalty during the last 24  months because of violations of the ban of child labor, the ban of forced labor, hindering freedom of association and Antitrust law provisions and that your company is not subject to any preliminary proceedings at the moment?</v>
      </c>
      <c r="C68" s="709"/>
      <c r="D68" s="710"/>
      <c r="E68" s="114" t="s">
        <v>118</v>
      </c>
      <c r="F68" s="728"/>
      <c r="G68" s="729"/>
    </row>
    <row r="69" spans="1:9" s="84" customFormat="1" ht="8.25" customHeight="1" thickBot="1">
      <c r="A69" s="106"/>
      <c r="B69" s="6"/>
      <c r="C69" s="6"/>
      <c r="D69" s="6"/>
      <c r="E69" s="714"/>
      <c r="F69" s="714"/>
      <c r="G69" s="714"/>
    </row>
    <row r="70" spans="1:9" s="84" customFormat="1" ht="15.75" customHeight="1" thickBot="1">
      <c r="A70" s="82">
        <v>10</v>
      </c>
      <c r="B70" s="721" t="str">
        <f>HLOOKUP(Language,Translation,186)</f>
        <v>Information on sourcing of raw materials</v>
      </c>
      <c r="C70" s="721"/>
      <c r="D70" s="721"/>
      <c r="E70" s="726" t="str">
        <f>HLOOKUP(Language,Translation,187)</f>
        <v>(This question is not relevant for service providers.)</v>
      </c>
      <c r="F70" s="726"/>
      <c r="G70" s="727"/>
    </row>
    <row r="71" spans="1:9" s="84" customFormat="1" ht="52.5" customHeight="1">
      <c r="A71" s="96" t="s">
        <v>221</v>
      </c>
      <c r="B71" s="715" t="str">
        <f>HLOOKUP(Language,Translation,188)</f>
        <v>Companies are expected to conduct due diligence to understand the source of the raw materials used in their products. Providing products that contain raw materials without knowing the origin could lead to contribute to human rights abuses, bribary and ethics violations, or negatively impact the environment.</v>
      </c>
      <c r="C71" s="716"/>
      <c r="D71" s="716"/>
      <c r="E71" s="716"/>
      <c r="F71" s="716"/>
      <c r="G71" s="717"/>
    </row>
    <row r="72" spans="1:9" s="84" customFormat="1" ht="18.75" customHeight="1">
      <c r="A72" s="104"/>
      <c r="B72" s="718" t="str">
        <f>HLOOKUP(Language,Translation,189)</f>
        <v>Reference: Responsible Minerals Initiative (www.responsiblemineralsinitiative.org)</v>
      </c>
      <c r="C72" s="719"/>
      <c r="D72" s="719"/>
      <c r="E72" s="719"/>
      <c r="F72" s="719"/>
      <c r="G72" s="720"/>
    </row>
    <row r="73" spans="1:9" s="84" customFormat="1" ht="40.5" customHeight="1" thickBot="1">
      <c r="A73" s="99"/>
      <c r="B73" s="736" t="str">
        <f>HLOOKUP(Language,Translation,190)</f>
        <v>Do you have a policy on responsible sourcing on raw materials? If yes, please enclose a copy.</v>
      </c>
      <c r="C73" s="737"/>
      <c r="D73" s="738"/>
      <c r="E73" s="114" t="s">
        <v>118</v>
      </c>
      <c r="F73" s="728"/>
      <c r="G73" s="729"/>
    </row>
    <row r="74" spans="1:9" s="84" customFormat="1">
      <c r="A74" s="100"/>
      <c r="B74" s="101"/>
      <c r="C74" s="101"/>
      <c r="D74" s="101"/>
      <c r="E74" s="6"/>
      <c r="F74" s="6"/>
      <c r="G74" s="6"/>
    </row>
    <row r="75" spans="1:9" ht="12.75" customHeight="1">
      <c r="A75" s="696" t="s">
        <v>213</v>
      </c>
      <c r="B75" s="696"/>
      <c r="C75" s="696"/>
      <c r="D75" s="696"/>
      <c r="E75" s="696"/>
      <c r="F75" s="696"/>
      <c r="G75" s="696"/>
    </row>
    <row r="76" spans="1:9" ht="6" customHeight="1"/>
    <row r="77" spans="1:9" ht="15" customHeight="1">
      <c r="A77" s="107">
        <v>1</v>
      </c>
      <c r="B77" s="722" t="s">
        <v>66</v>
      </c>
      <c r="C77" s="722"/>
      <c r="D77" s="722"/>
      <c r="E77" s="722"/>
      <c r="F77" s="722"/>
      <c r="G77" s="722"/>
    </row>
    <row r="78" spans="1:9" ht="15" customHeight="1">
      <c r="A78" s="107">
        <v>14</v>
      </c>
      <c r="B78" s="722" t="s">
        <v>67</v>
      </c>
      <c r="C78" s="722"/>
      <c r="D78" s="722"/>
      <c r="E78" s="722"/>
      <c r="F78" s="722"/>
      <c r="G78" s="722"/>
    </row>
    <row r="79" spans="1:9" ht="15" customHeight="1">
      <c r="A79" s="107">
        <v>26</v>
      </c>
      <c r="B79" s="722" t="s">
        <v>68</v>
      </c>
      <c r="C79" s="722"/>
      <c r="D79" s="722"/>
      <c r="E79" s="722"/>
      <c r="F79" s="722"/>
      <c r="G79" s="722"/>
    </row>
    <row r="80" spans="1:9" ht="15" customHeight="1">
      <c r="A80" s="107">
        <v>29</v>
      </c>
      <c r="B80" s="722" t="s">
        <v>69</v>
      </c>
      <c r="C80" s="722"/>
      <c r="D80" s="722"/>
      <c r="E80" s="722"/>
      <c r="F80" s="722"/>
      <c r="G80" s="722"/>
    </row>
    <row r="81" spans="1:7" ht="15" customHeight="1">
      <c r="A81" s="107">
        <v>59</v>
      </c>
      <c r="B81" s="722" t="s">
        <v>70</v>
      </c>
      <c r="C81" s="722"/>
      <c r="D81" s="722"/>
      <c r="E81" s="722"/>
      <c r="F81" s="722"/>
      <c r="G81" s="722"/>
    </row>
    <row r="82" spans="1:7" ht="15" customHeight="1">
      <c r="A82" s="107">
        <v>79</v>
      </c>
      <c r="B82" s="722" t="s">
        <v>71</v>
      </c>
      <c r="C82" s="722"/>
      <c r="D82" s="722"/>
      <c r="E82" s="722"/>
      <c r="F82" s="722"/>
      <c r="G82" s="722"/>
    </row>
    <row r="83" spans="1:7" ht="15" customHeight="1">
      <c r="A83" s="107">
        <v>87</v>
      </c>
      <c r="B83" s="722" t="s">
        <v>72</v>
      </c>
      <c r="C83" s="722"/>
      <c r="D83" s="722"/>
      <c r="E83" s="722"/>
      <c r="F83" s="722"/>
      <c r="G83" s="722"/>
    </row>
    <row r="84" spans="1:7" ht="15" customHeight="1">
      <c r="A84" s="107">
        <v>98</v>
      </c>
      <c r="B84" s="722" t="s">
        <v>73</v>
      </c>
      <c r="C84" s="722"/>
      <c r="D84" s="722"/>
      <c r="E84" s="722"/>
      <c r="F84" s="722"/>
      <c r="G84" s="722"/>
    </row>
    <row r="85" spans="1:7" ht="15" customHeight="1">
      <c r="A85" s="107">
        <v>100</v>
      </c>
      <c r="B85" s="722" t="s">
        <v>74</v>
      </c>
      <c r="C85" s="722"/>
      <c r="D85" s="722"/>
      <c r="E85" s="722"/>
      <c r="F85" s="722"/>
      <c r="G85" s="722"/>
    </row>
    <row r="86" spans="1:7" ht="15" customHeight="1">
      <c r="A86" s="107">
        <v>105</v>
      </c>
      <c r="B86" s="722" t="s">
        <v>75</v>
      </c>
      <c r="C86" s="722"/>
      <c r="D86" s="722"/>
      <c r="E86" s="722"/>
      <c r="F86" s="722"/>
      <c r="G86" s="722"/>
    </row>
    <row r="87" spans="1:7" ht="15" customHeight="1">
      <c r="A87" s="107">
        <v>111</v>
      </c>
      <c r="B87" s="722" t="s">
        <v>76</v>
      </c>
      <c r="C87" s="722"/>
      <c r="D87" s="722"/>
      <c r="E87" s="722"/>
      <c r="F87" s="722"/>
      <c r="G87" s="722"/>
    </row>
    <row r="88" spans="1:7" ht="15" customHeight="1">
      <c r="A88" s="107">
        <v>131</v>
      </c>
      <c r="B88" s="722" t="s">
        <v>77</v>
      </c>
      <c r="C88" s="722"/>
      <c r="D88" s="722"/>
      <c r="E88" s="722"/>
      <c r="F88" s="722"/>
      <c r="G88" s="722"/>
    </row>
    <row r="89" spans="1:7" ht="15" customHeight="1">
      <c r="A89" s="107">
        <v>132</v>
      </c>
      <c r="B89" s="722" t="s">
        <v>78</v>
      </c>
      <c r="C89" s="722"/>
      <c r="D89" s="722"/>
      <c r="E89" s="722"/>
      <c r="F89" s="722"/>
      <c r="G89" s="722"/>
    </row>
    <row r="90" spans="1:7" ht="15" customHeight="1">
      <c r="A90" s="107">
        <v>135</v>
      </c>
      <c r="B90" s="722" t="s">
        <v>79</v>
      </c>
      <c r="C90" s="722"/>
      <c r="D90" s="722"/>
      <c r="E90" s="722"/>
      <c r="F90" s="722"/>
      <c r="G90" s="722"/>
    </row>
    <row r="91" spans="1:7" ht="15" customHeight="1">
      <c r="A91" s="107">
        <v>138</v>
      </c>
      <c r="B91" s="722" t="s">
        <v>80</v>
      </c>
      <c r="C91" s="722"/>
      <c r="D91" s="722"/>
      <c r="E91" s="722"/>
      <c r="F91" s="722"/>
      <c r="G91" s="722"/>
    </row>
    <row r="92" spans="1:7" ht="15" customHeight="1">
      <c r="A92" s="107">
        <v>142</v>
      </c>
      <c r="B92" s="722" t="s">
        <v>81</v>
      </c>
      <c r="C92" s="722"/>
      <c r="D92" s="722"/>
      <c r="E92" s="722"/>
      <c r="F92" s="722"/>
      <c r="G92" s="722"/>
    </row>
    <row r="93" spans="1:7" ht="15" customHeight="1">
      <c r="A93" s="107">
        <v>143</v>
      </c>
      <c r="B93" s="722" t="s">
        <v>82</v>
      </c>
      <c r="C93" s="722"/>
      <c r="D93" s="722"/>
      <c r="E93" s="722"/>
      <c r="F93" s="722"/>
      <c r="G93" s="722"/>
    </row>
    <row r="94" spans="1:7" ht="15" customHeight="1">
      <c r="A94" s="107">
        <v>154</v>
      </c>
      <c r="B94" s="722" t="s">
        <v>83</v>
      </c>
      <c r="C94" s="722"/>
      <c r="D94" s="722"/>
      <c r="E94" s="722"/>
      <c r="F94" s="722"/>
      <c r="G94" s="722"/>
    </row>
    <row r="95" spans="1:7" ht="15" customHeight="1">
      <c r="A95" s="107">
        <v>155</v>
      </c>
      <c r="B95" s="722" t="s">
        <v>84</v>
      </c>
      <c r="C95" s="722"/>
      <c r="D95" s="722"/>
      <c r="E95" s="722"/>
      <c r="F95" s="722"/>
      <c r="G95" s="722"/>
    </row>
    <row r="96" spans="1:7" ht="15" customHeight="1">
      <c r="A96" s="107">
        <v>158</v>
      </c>
      <c r="B96" s="722" t="s">
        <v>85</v>
      </c>
      <c r="C96" s="722"/>
      <c r="D96" s="722"/>
      <c r="E96" s="722"/>
      <c r="F96" s="722"/>
      <c r="G96" s="722"/>
    </row>
    <row r="97" spans="1:7" ht="15" customHeight="1">
      <c r="A97" s="107">
        <v>159</v>
      </c>
      <c r="B97" s="722" t="s">
        <v>86</v>
      </c>
      <c r="C97" s="722"/>
      <c r="D97" s="722"/>
      <c r="E97" s="722"/>
      <c r="F97" s="722"/>
      <c r="G97" s="722"/>
    </row>
    <row r="98" spans="1:7" ht="15" customHeight="1">
      <c r="A98" s="107">
        <v>182</v>
      </c>
      <c r="B98" s="722" t="s">
        <v>87</v>
      </c>
      <c r="C98" s="722"/>
      <c r="D98" s="722"/>
      <c r="E98" s="722"/>
      <c r="F98" s="722"/>
      <c r="G98" s="722"/>
    </row>
    <row r="100" spans="1:7" ht="12.75" customHeight="1">
      <c r="A100" s="696" t="s">
        <v>1655</v>
      </c>
      <c r="B100" s="696"/>
      <c r="C100" s="696"/>
      <c r="D100" s="696"/>
      <c r="E100" s="696"/>
      <c r="F100" s="696"/>
      <c r="G100" s="696"/>
    </row>
    <row r="101" spans="1:7" ht="6" customHeight="1"/>
    <row r="102" spans="1:7">
      <c r="A102" s="234" t="s">
        <v>1656</v>
      </c>
      <c r="B102" s="761" t="s">
        <v>1657</v>
      </c>
      <c r="C102" s="762"/>
      <c r="D102" s="762"/>
      <c r="E102" s="762"/>
      <c r="F102" s="762"/>
      <c r="G102" s="763"/>
    </row>
    <row r="103" spans="1:7">
      <c r="A103" s="234" t="s">
        <v>1656</v>
      </c>
      <c r="B103" s="761" t="s">
        <v>1658</v>
      </c>
      <c r="C103" s="762"/>
      <c r="D103" s="762"/>
      <c r="E103" s="762"/>
      <c r="F103" s="762"/>
      <c r="G103" s="763"/>
    </row>
  </sheetData>
  <sheetProtection algorithmName="SHA-512" hashValue="TS14/NFJdEYPgt+rP8O+rKPe+0v1Slq55jnjf+aDazQEuEuFx74yBBIOP29otAiSOyiJ+K7I1qJesSu8/a4W/A==" saltValue="LAh1aVYGy1b5G0U09B9afA==" spinCount="100000" sheet="1" selectLockedCells="1"/>
  <mergeCells count="120">
    <mergeCell ref="B102:G102"/>
    <mergeCell ref="B103:G103"/>
    <mergeCell ref="B10:G10"/>
    <mergeCell ref="B11:G11"/>
    <mergeCell ref="B16:D16"/>
    <mergeCell ref="B13:D13"/>
    <mergeCell ref="F13:G13"/>
    <mergeCell ref="F14:G14"/>
    <mergeCell ref="B12:D12"/>
    <mergeCell ref="F12:G12"/>
    <mergeCell ref="F16:G16"/>
    <mergeCell ref="B24:D24"/>
    <mergeCell ref="F18:G18"/>
    <mergeCell ref="F24:G24"/>
    <mergeCell ref="B53:G53"/>
    <mergeCell ref="B54:D54"/>
    <mergeCell ref="B56:G56"/>
    <mergeCell ref="B48:D48"/>
    <mergeCell ref="B43:G43"/>
    <mergeCell ref="B44:D44"/>
    <mergeCell ref="B39:G39"/>
    <mergeCell ref="B40:D40"/>
    <mergeCell ref="B35:G35"/>
    <mergeCell ref="B36:D36"/>
    <mergeCell ref="A1:F1"/>
    <mergeCell ref="A3:B3"/>
    <mergeCell ref="C3:G3"/>
    <mergeCell ref="B5:G5"/>
    <mergeCell ref="B6:G6"/>
    <mergeCell ref="A6:A8"/>
    <mergeCell ref="B7:E8"/>
    <mergeCell ref="F7:G7"/>
    <mergeCell ref="F8:G8"/>
    <mergeCell ref="A11:A13"/>
    <mergeCell ref="B14:D14"/>
    <mergeCell ref="F34:G34"/>
    <mergeCell ref="F36:G36"/>
    <mergeCell ref="F40:G40"/>
    <mergeCell ref="F44:G44"/>
    <mergeCell ref="B31:G31"/>
    <mergeCell ref="B28:D28"/>
    <mergeCell ref="B29:G29"/>
    <mergeCell ref="B30:D30"/>
    <mergeCell ref="B33:G33"/>
    <mergeCell ref="F28:G28"/>
    <mergeCell ref="F30:G30"/>
    <mergeCell ref="B15:G15"/>
    <mergeCell ref="B23:G23"/>
    <mergeCell ref="B17:G17"/>
    <mergeCell ref="B18:D18"/>
    <mergeCell ref="B26:G26"/>
    <mergeCell ref="B27:G27"/>
    <mergeCell ref="B19:G19"/>
    <mergeCell ref="B20:D20"/>
    <mergeCell ref="B34:D34"/>
    <mergeCell ref="B32:D32"/>
    <mergeCell ref="B42:G42"/>
    <mergeCell ref="F32:G32"/>
    <mergeCell ref="B50:G50"/>
    <mergeCell ref="B51:G51"/>
    <mergeCell ref="B52:D52"/>
    <mergeCell ref="B46:G46"/>
    <mergeCell ref="B47:G47"/>
    <mergeCell ref="F48:G48"/>
    <mergeCell ref="F52:G52"/>
    <mergeCell ref="F54:G54"/>
    <mergeCell ref="B91:G91"/>
    <mergeCell ref="B92:G92"/>
    <mergeCell ref="B89:G89"/>
    <mergeCell ref="B90:G90"/>
    <mergeCell ref="B87:G87"/>
    <mergeCell ref="B88:G88"/>
    <mergeCell ref="B97:G97"/>
    <mergeCell ref="B98:G98"/>
    <mergeCell ref="B95:G95"/>
    <mergeCell ref="B96:G96"/>
    <mergeCell ref="B93:G93"/>
    <mergeCell ref="B94:G94"/>
    <mergeCell ref="B58:D58"/>
    <mergeCell ref="B70:D70"/>
    <mergeCell ref="E70:G70"/>
    <mergeCell ref="B79:G79"/>
    <mergeCell ref="B80:G80"/>
    <mergeCell ref="B77:G77"/>
    <mergeCell ref="B78:G78"/>
    <mergeCell ref="F58:G58"/>
    <mergeCell ref="F64:G64"/>
    <mergeCell ref="F68:G68"/>
    <mergeCell ref="F73:G73"/>
    <mergeCell ref="A65:B65"/>
    <mergeCell ref="C65:D65"/>
    <mergeCell ref="F65:G65"/>
    <mergeCell ref="F63:G63"/>
    <mergeCell ref="B73:D73"/>
    <mergeCell ref="B67:G67"/>
    <mergeCell ref="A75:G75"/>
    <mergeCell ref="A100:G100"/>
    <mergeCell ref="F20:G20"/>
    <mergeCell ref="B21:G21"/>
    <mergeCell ref="B22:D22"/>
    <mergeCell ref="F22:G22"/>
    <mergeCell ref="B37:G37"/>
    <mergeCell ref="B38:D38"/>
    <mergeCell ref="F38:G38"/>
    <mergeCell ref="B68:D68"/>
    <mergeCell ref="B64:D64"/>
    <mergeCell ref="E69:G69"/>
    <mergeCell ref="B71:G71"/>
    <mergeCell ref="B72:G72"/>
    <mergeCell ref="B57:G57"/>
    <mergeCell ref="B60:D60"/>
    <mergeCell ref="B61:G61"/>
    <mergeCell ref="B62:G62"/>
    <mergeCell ref="B63:D63"/>
    <mergeCell ref="B85:G85"/>
    <mergeCell ref="B86:G86"/>
    <mergeCell ref="B83:G83"/>
    <mergeCell ref="B84:G84"/>
    <mergeCell ref="B81:G81"/>
    <mergeCell ref="B82:G82"/>
  </mergeCells>
  <conditionalFormatting sqref="C65 F65">
    <cfRule type="cellIs" dxfId="71" priority="11" operator="equal">
      <formula>HLOOKUP(Language,Translation,270)</formula>
    </cfRule>
  </conditionalFormatting>
  <conditionalFormatting sqref="F8:G8">
    <cfRule type="notContainsBlanks" dxfId="48" priority="185">
      <formula>LEN(TRIM(F8))&gt;0</formula>
    </cfRule>
  </conditionalFormatting>
  <conditionalFormatting sqref="F13:G14">
    <cfRule type="notContainsBlanks" dxfId="47" priority="66">
      <formula>LEN(TRIM(F13))&gt;0</formula>
    </cfRule>
  </conditionalFormatting>
  <conditionalFormatting sqref="F16:G16">
    <cfRule type="notContainsBlanks" dxfId="45" priority="63">
      <formula>LEN(TRIM(F16))&gt;0</formula>
    </cfRule>
  </conditionalFormatting>
  <conditionalFormatting sqref="F18:G18">
    <cfRule type="notContainsBlanks" dxfId="42" priority="60">
      <formula>LEN(TRIM(F18))&gt;0</formula>
    </cfRule>
  </conditionalFormatting>
  <conditionalFormatting sqref="F20:G20">
    <cfRule type="notContainsBlanks" dxfId="41" priority="7">
      <formula>LEN(TRIM(F20))&gt;0</formula>
    </cfRule>
  </conditionalFormatting>
  <conditionalFormatting sqref="F22:G22">
    <cfRule type="notContainsBlanks" dxfId="39" priority="4">
      <formula>LEN(TRIM(F22))&gt;0</formula>
    </cfRule>
  </conditionalFormatting>
  <conditionalFormatting sqref="F24:G24">
    <cfRule type="notContainsBlanks" dxfId="36" priority="57">
      <formula>LEN(TRIM(F24))&gt;0</formula>
    </cfRule>
  </conditionalFormatting>
  <conditionalFormatting sqref="F28:G28">
    <cfRule type="notContainsBlanks" dxfId="34" priority="54">
      <formula>LEN(TRIM(F28))&gt;0</formula>
    </cfRule>
  </conditionalFormatting>
  <conditionalFormatting sqref="F30:G30">
    <cfRule type="notContainsBlanks" dxfId="32" priority="51">
      <formula>LEN(TRIM(F30))&gt;0</formula>
    </cfRule>
  </conditionalFormatting>
  <conditionalFormatting sqref="F32:G32">
    <cfRule type="notContainsBlanks" dxfId="31" priority="48">
      <formula>LEN(TRIM(F32))&gt;0</formula>
    </cfRule>
  </conditionalFormatting>
  <conditionalFormatting sqref="F34:G34">
    <cfRule type="notContainsBlanks" dxfId="29" priority="45">
      <formula>LEN(TRIM(F34))&gt;0</formula>
    </cfRule>
  </conditionalFormatting>
  <conditionalFormatting sqref="F36:G36">
    <cfRule type="notContainsBlanks" dxfId="26" priority="42">
      <formula>LEN(TRIM(F36))&gt;0</formula>
    </cfRule>
  </conditionalFormatting>
  <conditionalFormatting sqref="F38:G38">
    <cfRule type="notContainsBlanks" dxfId="25" priority="1">
      <formula>LEN(TRIM(F38))&gt;0</formula>
    </cfRule>
  </conditionalFormatting>
  <conditionalFormatting sqref="F40:G40">
    <cfRule type="notContainsBlanks" dxfId="22" priority="30">
      <formula>LEN(TRIM(F40))&gt;0</formula>
    </cfRule>
  </conditionalFormatting>
  <conditionalFormatting sqref="F44:G44">
    <cfRule type="notContainsBlanks" dxfId="20" priority="27">
      <formula>LEN(TRIM(F44))&gt;0</formula>
    </cfRule>
  </conditionalFormatting>
  <conditionalFormatting sqref="F48:G48">
    <cfRule type="notContainsBlanks" dxfId="18" priority="24">
      <formula>LEN(TRIM(F48))&gt;0</formula>
    </cfRule>
  </conditionalFormatting>
  <conditionalFormatting sqref="F52:G52">
    <cfRule type="notContainsBlanks" dxfId="16" priority="39">
      <formula>LEN(TRIM(F52))&gt;0</formula>
    </cfRule>
  </conditionalFormatting>
  <conditionalFormatting sqref="F54:G54">
    <cfRule type="notContainsBlanks" dxfId="15" priority="36">
      <formula>LEN(TRIM(F54))&gt;0</formula>
    </cfRule>
  </conditionalFormatting>
  <conditionalFormatting sqref="F58:G58">
    <cfRule type="notContainsBlanks" dxfId="12" priority="18">
      <formula>LEN(TRIM(F58))&gt;0</formula>
    </cfRule>
  </conditionalFormatting>
  <conditionalFormatting sqref="F63:G64">
    <cfRule type="notContainsBlanks" dxfId="11" priority="15">
      <formula>LEN(TRIM(F63))&gt;0</formula>
    </cfRule>
  </conditionalFormatting>
  <conditionalFormatting sqref="F68:G68">
    <cfRule type="notContainsBlanks" dxfId="9" priority="12">
      <formula>LEN(TRIM(F68))&gt;0</formula>
    </cfRule>
  </conditionalFormatting>
  <conditionalFormatting sqref="F73:G73">
    <cfRule type="notContainsBlanks" dxfId="7" priority="85">
      <formula>LEN(TRIM(F73))&gt;0</formula>
    </cfRule>
  </conditionalFormatting>
  <dataValidations count="2">
    <dataValidation type="list" allowBlank="1" showInputMessage="1" showErrorMessage="1" sqref="F7" xr:uid="{983D18DC-27C5-4CDA-82A6-F4613CFBC796}">
      <formula1>Selection</formula1>
    </dataValidation>
    <dataValidation type="list" allowBlank="1" showInputMessage="1" showErrorMessage="1" sqref="E52 E13:E14 E16 E63:E64 E24 E28 E30 E32 E34 E58 E40 E44 E48 E54 E68 E73 E22 E18 E20 E36 E38" xr:uid="{3D7DCA3D-6A86-468A-85BD-62DFBBB10C0D}">
      <formula1>Selection2</formula1>
    </dataValidation>
  </dataValidations>
  <printOptions horizontalCentered="1"/>
  <pageMargins left="0.78740157480314965" right="0.74803149606299213" top="0.43307086614173229" bottom="0.59055118110236227" header="0.23622047244094491" footer="0.15748031496062992"/>
  <pageSetup scale="80" firstPageNumber="5" fitToHeight="0" orientation="portrait" r:id="rId1"/>
  <headerFooter alignWithMargins="0">
    <oddFooter>&amp;L&amp;6T.PU.005 Supplier Self Assessment and Approval Form / V3.3 / T.Schneider / 14.03.2024&amp;C&amp;1#&amp;8&amp;KA6A6A6restricted&amp;R&amp;6&amp;A   &amp;P/&amp;N</oddFooter>
  </headerFooter>
  <rowBreaks count="2" manualBreakCount="2">
    <brk id="34" max="6" man="1"/>
    <brk id="58" max="6"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10" id="{E4AA9DFD-9A0B-4A77-966F-D202E948A390}">
            <xm:f>$E$64='Language table'!$D$4</xm:f>
            <x14:dxf>
              <font>
                <color theme="0"/>
              </font>
              <fill>
                <patternFill>
                  <bgColor theme="0"/>
                </patternFill>
              </fill>
            </x14:dxf>
          </x14:cfRule>
          <xm:sqref>A65:G65</xm:sqref>
        </x14:conditionalFormatting>
        <x14:conditionalFormatting xmlns:xm="http://schemas.microsoft.com/office/excel/2006/main">
          <x14:cfRule type="expression" priority="69" id="{00000000-000E-0000-0400-00003A000000}">
            <xm:f>OR(VC='Language table'!$E$3,VC='Language table'!$F$3)</xm:f>
            <x14:dxf>
              <font>
                <color theme="0"/>
              </font>
              <fill>
                <patternFill>
                  <bgColor theme="0"/>
                </patternFill>
              </fill>
              <border>
                <left/>
                <right/>
                <top/>
                <bottom/>
              </border>
            </x14:dxf>
          </x14:cfRule>
          <xm:sqref>A70:G73</xm:sqref>
        </x14:conditionalFormatting>
        <x14:conditionalFormatting xmlns:xm="http://schemas.microsoft.com/office/excel/2006/main">
          <x14:cfRule type="cellIs" priority="68" operator="equal" id="{D7A3471A-5F2D-4BB5-A724-006F7DC04A70}">
            <xm:f>'Language table'!$B$3</xm:f>
            <x14:dxf>
              <fill>
                <patternFill>
                  <bgColor theme="0" tint="-0.14996795556505021"/>
                </patternFill>
              </fill>
            </x14:dxf>
          </x14:cfRule>
          <xm:sqref>E13:E14</xm:sqref>
        </x14:conditionalFormatting>
        <x14:conditionalFormatting xmlns:xm="http://schemas.microsoft.com/office/excel/2006/main">
          <x14:cfRule type="cellIs" priority="65" operator="equal" id="{6BDC5CB5-ABE6-4817-A5A9-A396B85CA3B6}">
            <xm:f>'Language table'!$B$3</xm:f>
            <x14:dxf>
              <fill>
                <patternFill>
                  <bgColor theme="0" tint="-0.14996795556505021"/>
                </patternFill>
              </fill>
            </x14:dxf>
          </x14:cfRule>
          <xm:sqref>E16</xm:sqref>
        </x14:conditionalFormatting>
        <x14:conditionalFormatting xmlns:xm="http://schemas.microsoft.com/office/excel/2006/main">
          <x14:cfRule type="cellIs" priority="62" operator="equal" id="{A6C445DC-CD86-4E5C-9321-1B48876FC694}">
            <xm:f>'Language table'!$B$3</xm:f>
            <x14:dxf>
              <fill>
                <patternFill>
                  <bgColor theme="0" tint="-0.14996795556505021"/>
                </patternFill>
              </fill>
            </x14:dxf>
          </x14:cfRule>
          <xm:sqref>E18</xm:sqref>
        </x14:conditionalFormatting>
        <x14:conditionalFormatting xmlns:xm="http://schemas.microsoft.com/office/excel/2006/main">
          <x14:cfRule type="cellIs" priority="9" operator="equal" id="{55AB8309-59F1-42A0-8A2E-C534C62826AD}">
            <xm:f>'Language table'!$B$3</xm:f>
            <x14:dxf>
              <fill>
                <patternFill>
                  <bgColor theme="0" tint="-0.14996795556505021"/>
                </patternFill>
              </fill>
            </x14:dxf>
          </x14:cfRule>
          <xm:sqref>E20</xm:sqref>
        </x14:conditionalFormatting>
        <x14:conditionalFormatting xmlns:xm="http://schemas.microsoft.com/office/excel/2006/main">
          <x14:cfRule type="cellIs" priority="6" operator="equal" id="{17382C1B-CBBA-4BF9-B0D6-40BB27072141}">
            <xm:f>'Language table'!$B$3</xm:f>
            <x14:dxf>
              <fill>
                <patternFill>
                  <bgColor theme="0" tint="-0.14996795556505021"/>
                </patternFill>
              </fill>
            </x14:dxf>
          </x14:cfRule>
          <xm:sqref>E22</xm:sqref>
        </x14:conditionalFormatting>
        <x14:conditionalFormatting xmlns:xm="http://schemas.microsoft.com/office/excel/2006/main">
          <x14:cfRule type="cellIs" priority="59" operator="equal" id="{B8317FCA-BB5D-4ABB-8B3B-E0172CA5E5FF}">
            <xm:f>'Language table'!$B$3</xm:f>
            <x14:dxf>
              <fill>
                <patternFill>
                  <bgColor theme="0" tint="-0.14996795556505021"/>
                </patternFill>
              </fill>
            </x14:dxf>
          </x14:cfRule>
          <xm:sqref>E24</xm:sqref>
        </x14:conditionalFormatting>
        <x14:conditionalFormatting xmlns:xm="http://schemas.microsoft.com/office/excel/2006/main">
          <x14:cfRule type="cellIs" priority="56" operator="equal" id="{9E5CD2B5-3B5E-4E13-B56B-BC36EE178EA9}">
            <xm:f>'Language table'!$B$3</xm:f>
            <x14:dxf>
              <fill>
                <patternFill>
                  <bgColor theme="0" tint="-0.14996795556505021"/>
                </patternFill>
              </fill>
            </x14:dxf>
          </x14:cfRule>
          <xm:sqref>E28</xm:sqref>
        </x14:conditionalFormatting>
        <x14:conditionalFormatting xmlns:xm="http://schemas.microsoft.com/office/excel/2006/main">
          <x14:cfRule type="cellIs" priority="53" operator="equal" id="{3AA25921-4D1A-4ADD-A301-C5F4078C1CAE}">
            <xm:f>'Language table'!$B$3</xm:f>
            <x14:dxf>
              <fill>
                <patternFill>
                  <bgColor theme="0" tint="-0.14996795556505021"/>
                </patternFill>
              </fill>
            </x14:dxf>
          </x14:cfRule>
          <xm:sqref>E30</xm:sqref>
        </x14:conditionalFormatting>
        <x14:conditionalFormatting xmlns:xm="http://schemas.microsoft.com/office/excel/2006/main">
          <x14:cfRule type="cellIs" priority="50" operator="equal" id="{408535C3-DE93-4B4C-A272-3B9A04EFA9DE}">
            <xm:f>'Language table'!$B$3</xm:f>
            <x14:dxf>
              <fill>
                <patternFill>
                  <bgColor theme="0" tint="-0.14996795556505021"/>
                </patternFill>
              </fill>
            </x14:dxf>
          </x14:cfRule>
          <xm:sqref>E32</xm:sqref>
        </x14:conditionalFormatting>
        <x14:conditionalFormatting xmlns:xm="http://schemas.microsoft.com/office/excel/2006/main">
          <x14:cfRule type="cellIs" priority="47" operator="equal" id="{64F4A26A-41CE-4CBF-8A84-02E69790D215}">
            <xm:f>'Language table'!$B$3</xm:f>
            <x14:dxf>
              <fill>
                <patternFill>
                  <bgColor theme="0" tint="-0.14996795556505021"/>
                </patternFill>
              </fill>
            </x14:dxf>
          </x14:cfRule>
          <xm:sqref>E34</xm:sqref>
        </x14:conditionalFormatting>
        <x14:conditionalFormatting xmlns:xm="http://schemas.microsoft.com/office/excel/2006/main">
          <x14:cfRule type="cellIs" priority="44" operator="equal" id="{2A3F7B41-C0A4-42DA-9798-BD2ABE9590F5}">
            <xm:f>'Language table'!$B$3</xm:f>
            <x14:dxf>
              <fill>
                <patternFill>
                  <bgColor theme="0" tint="-0.14996795556505021"/>
                </patternFill>
              </fill>
            </x14:dxf>
          </x14:cfRule>
          <xm:sqref>E36</xm:sqref>
        </x14:conditionalFormatting>
        <x14:conditionalFormatting xmlns:xm="http://schemas.microsoft.com/office/excel/2006/main">
          <x14:cfRule type="cellIs" priority="3" operator="equal" id="{23AA7740-8EA5-49A1-9E1D-F45256E798D2}">
            <xm:f>'Language table'!$B$3</xm:f>
            <x14:dxf>
              <fill>
                <patternFill>
                  <bgColor theme="0" tint="-0.14996795556505021"/>
                </patternFill>
              </fill>
            </x14:dxf>
          </x14:cfRule>
          <xm:sqref>E38</xm:sqref>
        </x14:conditionalFormatting>
        <x14:conditionalFormatting xmlns:xm="http://schemas.microsoft.com/office/excel/2006/main">
          <x14:cfRule type="cellIs" priority="32" operator="equal" id="{33069229-EFE6-435B-87A9-EBE734715A3C}">
            <xm:f>'Language table'!$B$3</xm:f>
            <x14:dxf>
              <fill>
                <patternFill>
                  <bgColor theme="0" tint="-0.14996795556505021"/>
                </patternFill>
              </fill>
            </x14:dxf>
          </x14:cfRule>
          <xm:sqref>E40</xm:sqref>
        </x14:conditionalFormatting>
        <x14:conditionalFormatting xmlns:xm="http://schemas.microsoft.com/office/excel/2006/main">
          <x14:cfRule type="cellIs" priority="29" operator="equal" id="{28C49B24-506B-4C39-B69E-E427E89FC328}">
            <xm:f>'Language table'!$B$3</xm:f>
            <x14:dxf>
              <fill>
                <patternFill>
                  <bgColor theme="0" tint="-0.14996795556505021"/>
                </patternFill>
              </fill>
            </x14:dxf>
          </x14:cfRule>
          <xm:sqref>E44</xm:sqref>
        </x14:conditionalFormatting>
        <x14:conditionalFormatting xmlns:xm="http://schemas.microsoft.com/office/excel/2006/main">
          <x14:cfRule type="cellIs" priority="26" operator="equal" id="{37AF3403-C7AE-4268-9384-83C7B1DACABE}">
            <xm:f>'Language table'!$B$3</xm:f>
            <x14:dxf>
              <fill>
                <patternFill>
                  <bgColor theme="0" tint="-0.14996795556505021"/>
                </patternFill>
              </fill>
            </x14:dxf>
          </x14:cfRule>
          <xm:sqref>E48</xm:sqref>
        </x14:conditionalFormatting>
        <x14:conditionalFormatting xmlns:xm="http://schemas.microsoft.com/office/excel/2006/main">
          <x14:cfRule type="cellIs" priority="41" operator="equal" id="{7D8EC0EB-11EE-48A2-B9AC-AB7663B716E4}">
            <xm:f>'Language table'!$B$3</xm:f>
            <x14:dxf>
              <fill>
                <patternFill>
                  <bgColor theme="0" tint="-0.14996795556505021"/>
                </patternFill>
              </fill>
            </x14:dxf>
          </x14:cfRule>
          <xm:sqref>E52</xm:sqref>
        </x14:conditionalFormatting>
        <x14:conditionalFormatting xmlns:xm="http://schemas.microsoft.com/office/excel/2006/main">
          <x14:cfRule type="cellIs" priority="38" operator="equal" id="{2CDA2F9B-F0CD-47EB-8B05-7FF4FF6C2E82}">
            <xm:f>'Language table'!$B$3</xm:f>
            <x14:dxf>
              <fill>
                <patternFill>
                  <bgColor theme="0" tint="-0.14996795556505021"/>
                </patternFill>
              </fill>
            </x14:dxf>
          </x14:cfRule>
          <xm:sqref>E54</xm:sqref>
        </x14:conditionalFormatting>
        <x14:conditionalFormatting xmlns:xm="http://schemas.microsoft.com/office/excel/2006/main">
          <x14:cfRule type="cellIs" priority="20" operator="equal" id="{FF46D4E8-0CC3-4BFD-A776-968BA5A2058E}">
            <xm:f>'Language table'!$B$3</xm:f>
            <x14:dxf>
              <fill>
                <patternFill>
                  <bgColor theme="0" tint="-0.14996795556505021"/>
                </patternFill>
              </fill>
            </x14:dxf>
          </x14:cfRule>
          <xm:sqref>E58</xm:sqref>
        </x14:conditionalFormatting>
        <x14:conditionalFormatting xmlns:xm="http://schemas.microsoft.com/office/excel/2006/main">
          <x14:cfRule type="cellIs" priority="17" operator="equal" id="{21AD50FC-66D1-4FCB-9C73-4929A06D8CFB}">
            <xm:f>'Language table'!$B$3</xm:f>
            <x14:dxf>
              <fill>
                <patternFill>
                  <bgColor theme="0" tint="-0.14996795556505021"/>
                </patternFill>
              </fill>
            </x14:dxf>
          </x14:cfRule>
          <xm:sqref>E63:E65</xm:sqref>
        </x14:conditionalFormatting>
        <x14:conditionalFormatting xmlns:xm="http://schemas.microsoft.com/office/excel/2006/main">
          <x14:cfRule type="cellIs" priority="14" operator="equal" id="{1BC14B3D-9AB4-4781-A8E4-FDF403AB5811}">
            <xm:f>'Language table'!$B$3</xm:f>
            <x14:dxf>
              <fill>
                <patternFill>
                  <bgColor theme="0" tint="-0.14996795556505021"/>
                </patternFill>
              </fill>
            </x14:dxf>
          </x14:cfRule>
          <xm:sqref>E68</xm:sqref>
        </x14:conditionalFormatting>
        <x14:conditionalFormatting xmlns:xm="http://schemas.microsoft.com/office/excel/2006/main">
          <x14:cfRule type="cellIs" priority="88" operator="equal" id="{5D3BD41F-10A2-4D8E-A0FE-C53EE241D50A}">
            <xm:f>'Language table'!$B$3</xm:f>
            <x14:dxf>
              <fill>
                <patternFill>
                  <bgColor theme="0" tint="-0.14996795556505021"/>
                </patternFill>
              </fill>
            </x14:dxf>
          </x14:cfRule>
          <xm:sqref>E73</xm:sqref>
        </x14:conditionalFormatting>
        <x14:conditionalFormatting xmlns:xm="http://schemas.microsoft.com/office/excel/2006/main">
          <x14:cfRule type="cellIs" priority="186" operator="equal" id="{AA2D348E-3D17-4476-81B1-C67C9F491B15}">
            <xm:f>'Language table'!$B$3</xm:f>
            <x14:dxf>
              <fill>
                <patternFill>
                  <bgColor theme="0" tint="-0.14996795556505021"/>
                </patternFill>
              </fill>
            </x14:dxf>
          </x14:cfRule>
          <xm:sqref>F7</xm:sqref>
        </x14:conditionalFormatting>
        <x14:conditionalFormatting xmlns:xm="http://schemas.microsoft.com/office/excel/2006/main">
          <x14:cfRule type="expression" priority="67" id="{BE34D81B-C914-4C56-A23B-BF2976220509}">
            <xm:f>OR(E13='Language table'!$D$6,E13='Language table'!$E$6)</xm:f>
            <x14:dxf>
              <fill>
                <patternFill>
                  <bgColor theme="0" tint="-0.14996795556505021"/>
                </patternFill>
              </fill>
            </x14:dxf>
          </x14:cfRule>
          <xm:sqref>F13:G14</xm:sqref>
        </x14:conditionalFormatting>
        <x14:conditionalFormatting xmlns:xm="http://schemas.microsoft.com/office/excel/2006/main">
          <x14:cfRule type="expression" priority="64" id="{1376CE1D-C9EB-417B-B3F1-66A63BC7B825}">
            <xm:f>OR(E16='Language table'!$D$6,E16='Language table'!$E$6)</xm:f>
            <x14:dxf>
              <fill>
                <patternFill>
                  <bgColor theme="0" tint="-0.14996795556505021"/>
                </patternFill>
              </fill>
            </x14:dxf>
          </x14:cfRule>
          <xm:sqref>F16:G16</xm:sqref>
        </x14:conditionalFormatting>
        <x14:conditionalFormatting xmlns:xm="http://schemas.microsoft.com/office/excel/2006/main">
          <x14:cfRule type="expression" priority="61" id="{F12E621B-72F4-44E2-BF66-652A35684953}">
            <xm:f>OR(E18='Language table'!$D$6,E18='Language table'!$E$6)</xm:f>
            <x14:dxf>
              <fill>
                <patternFill>
                  <bgColor theme="0" tint="-0.14996795556505021"/>
                </patternFill>
              </fill>
            </x14:dxf>
          </x14:cfRule>
          <xm:sqref>F18:G18</xm:sqref>
        </x14:conditionalFormatting>
        <x14:conditionalFormatting xmlns:xm="http://schemas.microsoft.com/office/excel/2006/main">
          <x14:cfRule type="expression" priority="8" id="{E50C1217-6093-45B4-9A2E-D00D53C91246}">
            <xm:f>OR(E20='Language table'!$D$6,E20='Language table'!$E$6)</xm:f>
            <x14:dxf>
              <fill>
                <patternFill>
                  <bgColor theme="0" tint="-0.14996795556505021"/>
                </patternFill>
              </fill>
            </x14:dxf>
          </x14:cfRule>
          <xm:sqref>F20:G20</xm:sqref>
        </x14:conditionalFormatting>
        <x14:conditionalFormatting xmlns:xm="http://schemas.microsoft.com/office/excel/2006/main">
          <x14:cfRule type="expression" priority="5" id="{F556FB6C-CA9A-4C93-9DB1-B3D127DF6F85}">
            <xm:f>OR(E22='Language table'!$D$6,E22='Language table'!$E$6)</xm:f>
            <x14:dxf>
              <fill>
                <patternFill>
                  <bgColor theme="0" tint="-0.14996795556505021"/>
                </patternFill>
              </fill>
            </x14:dxf>
          </x14:cfRule>
          <xm:sqref>F22:G22</xm:sqref>
        </x14:conditionalFormatting>
        <x14:conditionalFormatting xmlns:xm="http://schemas.microsoft.com/office/excel/2006/main">
          <x14:cfRule type="expression" priority="58" id="{E487DC92-91A8-4E7C-B524-EB80BA437721}">
            <xm:f>OR(E24='Language table'!$D$6,E24='Language table'!$E$6)</xm:f>
            <x14:dxf>
              <fill>
                <patternFill>
                  <bgColor theme="0" tint="-0.14996795556505021"/>
                </patternFill>
              </fill>
            </x14:dxf>
          </x14:cfRule>
          <xm:sqref>F24:G24</xm:sqref>
        </x14:conditionalFormatting>
        <x14:conditionalFormatting xmlns:xm="http://schemas.microsoft.com/office/excel/2006/main">
          <x14:cfRule type="expression" priority="55" id="{383E8B25-1CDD-47DB-BDA5-9F951B3C185F}">
            <xm:f>OR(E28='Language table'!$D$6,E28='Language table'!$E$6)</xm:f>
            <x14:dxf>
              <fill>
                <patternFill>
                  <bgColor theme="0" tint="-0.14996795556505021"/>
                </patternFill>
              </fill>
            </x14:dxf>
          </x14:cfRule>
          <xm:sqref>F28:G28</xm:sqref>
        </x14:conditionalFormatting>
        <x14:conditionalFormatting xmlns:xm="http://schemas.microsoft.com/office/excel/2006/main">
          <x14:cfRule type="expression" priority="52" id="{AAF06BB9-3B9A-4AFC-A30A-C3AEAE46F766}">
            <xm:f>OR(E30='Language table'!$D$6,E30='Language table'!$E$6)</xm:f>
            <x14:dxf>
              <fill>
                <patternFill>
                  <bgColor theme="0" tint="-0.14996795556505021"/>
                </patternFill>
              </fill>
            </x14:dxf>
          </x14:cfRule>
          <xm:sqref>F30:G30</xm:sqref>
        </x14:conditionalFormatting>
        <x14:conditionalFormatting xmlns:xm="http://schemas.microsoft.com/office/excel/2006/main">
          <x14:cfRule type="expression" priority="49" id="{90437EB9-AB8F-477D-A868-CA707CDDEC8F}">
            <xm:f>OR(E32='Language table'!$D$6,E32='Language table'!$E$6)</xm:f>
            <x14:dxf>
              <fill>
                <patternFill>
                  <bgColor theme="0" tint="-0.14996795556505021"/>
                </patternFill>
              </fill>
            </x14:dxf>
          </x14:cfRule>
          <xm:sqref>F32:G32</xm:sqref>
        </x14:conditionalFormatting>
        <x14:conditionalFormatting xmlns:xm="http://schemas.microsoft.com/office/excel/2006/main">
          <x14:cfRule type="expression" priority="46" id="{DA4ABCA9-52AC-4D89-B7DA-D8FC95D4BC41}">
            <xm:f>OR(E34='Language table'!$D$6,E34='Language table'!$E$6)</xm:f>
            <x14:dxf>
              <fill>
                <patternFill>
                  <bgColor theme="0" tint="-0.14996795556505021"/>
                </patternFill>
              </fill>
            </x14:dxf>
          </x14:cfRule>
          <xm:sqref>F34:G34</xm:sqref>
        </x14:conditionalFormatting>
        <x14:conditionalFormatting xmlns:xm="http://schemas.microsoft.com/office/excel/2006/main">
          <x14:cfRule type="expression" priority="43" id="{F869DBDF-A1DA-4FFF-875C-7E5E0DC164A2}">
            <xm:f>OR(E36='Language table'!$D$6,E36='Language table'!$E$6)</xm:f>
            <x14:dxf>
              <fill>
                <patternFill>
                  <bgColor theme="0" tint="-0.14996795556505021"/>
                </patternFill>
              </fill>
            </x14:dxf>
          </x14:cfRule>
          <xm:sqref>F36:G36</xm:sqref>
        </x14:conditionalFormatting>
        <x14:conditionalFormatting xmlns:xm="http://schemas.microsoft.com/office/excel/2006/main">
          <x14:cfRule type="expression" priority="2" id="{919ED6E7-2D04-4A4E-9DCD-3FA7637BAD3C}">
            <xm:f>OR(E38='Language table'!$D$6,E38='Language table'!$E$6)</xm:f>
            <x14:dxf>
              <fill>
                <patternFill>
                  <bgColor theme="0" tint="-0.14996795556505021"/>
                </patternFill>
              </fill>
            </x14:dxf>
          </x14:cfRule>
          <xm:sqref>F38:G38</xm:sqref>
        </x14:conditionalFormatting>
        <x14:conditionalFormatting xmlns:xm="http://schemas.microsoft.com/office/excel/2006/main">
          <x14:cfRule type="expression" priority="31" id="{0552DE11-3353-49B3-93DA-D952A2D8214E}">
            <xm:f>OR(E40='Language table'!$D$6,E40='Language table'!$E$6)</xm:f>
            <x14:dxf>
              <fill>
                <patternFill>
                  <bgColor theme="0" tint="-0.14996795556505021"/>
                </patternFill>
              </fill>
            </x14:dxf>
          </x14:cfRule>
          <xm:sqref>F40:G40</xm:sqref>
        </x14:conditionalFormatting>
        <x14:conditionalFormatting xmlns:xm="http://schemas.microsoft.com/office/excel/2006/main">
          <x14:cfRule type="expression" priority="28" id="{4BD02B37-51A4-4213-A335-5A6E24D335F3}">
            <xm:f>OR(E44='Language table'!$D$6,E44='Language table'!$E$6)</xm:f>
            <x14:dxf>
              <fill>
                <patternFill>
                  <bgColor theme="0" tint="-0.14996795556505021"/>
                </patternFill>
              </fill>
            </x14:dxf>
          </x14:cfRule>
          <xm:sqref>F44:G44</xm:sqref>
        </x14:conditionalFormatting>
        <x14:conditionalFormatting xmlns:xm="http://schemas.microsoft.com/office/excel/2006/main">
          <x14:cfRule type="expression" priority="25" id="{99FE9ECF-088B-434F-93F9-FB6F14675C80}">
            <xm:f>OR(E48='Language table'!$D$6,E48='Language table'!$E$6)</xm:f>
            <x14:dxf>
              <fill>
                <patternFill>
                  <bgColor theme="0" tint="-0.14996795556505021"/>
                </patternFill>
              </fill>
            </x14:dxf>
          </x14:cfRule>
          <xm:sqref>F48:G48</xm:sqref>
        </x14:conditionalFormatting>
        <x14:conditionalFormatting xmlns:xm="http://schemas.microsoft.com/office/excel/2006/main">
          <x14:cfRule type="expression" priority="40" id="{5B392D7B-2579-4594-A5BB-0D0A2797A7EF}">
            <xm:f>OR(E52='Language table'!$D$6,E52='Language table'!$E$6)</xm:f>
            <x14:dxf>
              <fill>
                <patternFill>
                  <bgColor theme="0" tint="-0.14996795556505021"/>
                </patternFill>
              </fill>
            </x14:dxf>
          </x14:cfRule>
          <xm:sqref>F52:G52</xm:sqref>
        </x14:conditionalFormatting>
        <x14:conditionalFormatting xmlns:xm="http://schemas.microsoft.com/office/excel/2006/main">
          <x14:cfRule type="expression" priority="37" id="{7BE24932-0102-4AA8-B084-901D2641C9FB}">
            <xm:f>OR(E54='Language table'!$D$6,E54='Language table'!$E$6)</xm:f>
            <x14:dxf>
              <fill>
                <patternFill>
                  <bgColor theme="0" tint="-0.14996795556505021"/>
                </patternFill>
              </fill>
            </x14:dxf>
          </x14:cfRule>
          <xm:sqref>F54:G54</xm:sqref>
        </x14:conditionalFormatting>
        <x14:conditionalFormatting xmlns:xm="http://schemas.microsoft.com/office/excel/2006/main">
          <x14:cfRule type="expression" priority="19" id="{1319B297-E2E2-4C54-838E-1BCDA8B031B5}">
            <xm:f>OR(E58='Language table'!$D$6,E58='Language table'!$E$6)</xm:f>
            <x14:dxf>
              <fill>
                <patternFill>
                  <bgColor theme="0" tint="-0.14996795556505021"/>
                </patternFill>
              </fill>
            </x14:dxf>
          </x14:cfRule>
          <xm:sqref>F58:G58</xm:sqref>
        </x14:conditionalFormatting>
        <x14:conditionalFormatting xmlns:xm="http://schemas.microsoft.com/office/excel/2006/main">
          <x14:cfRule type="expression" priority="16" id="{CFA14A5B-3EF4-424C-89C4-916F95D7A833}">
            <xm:f>OR(E63='Language table'!$D$6,E63='Language table'!$E$6)</xm:f>
            <x14:dxf>
              <fill>
                <patternFill>
                  <bgColor theme="0" tint="-0.14996795556505021"/>
                </patternFill>
              </fill>
            </x14:dxf>
          </x14:cfRule>
          <xm:sqref>F63:G64</xm:sqref>
        </x14:conditionalFormatting>
        <x14:conditionalFormatting xmlns:xm="http://schemas.microsoft.com/office/excel/2006/main">
          <x14:cfRule type="expression" priority="13" id="{59083490-62A1-457F-A3A3-0527E5E6D635}">
            <xm:f>OR(E68='Language table'!$D$6,E68='Language table'!$E$6)</xm:f>
            <x14:dxf>
              <fill>
                <patternFill>
                  <bgColor theme="0" tint="-0.14996795556505021"/>
                </patternFill>
              </fill>
            </x14:dxf>
          </x14:cfRule>
          <xm:sqref>F68:G68</xm:sqref>
        </x14:conditionalFormatting>
        <x14:conditionalFormatting xmlns:xm="http://schemas.microsoft.com/office/excel/2006/main">
          <x14:cfRule type="expression" priority="86" id="{5EA0A452-4C8D-4053-8E78-221631BD3275}">
            <xm:f>OR(E73='Language table'!$D$6,E73='Language table'!$E$6)</xm:f>
            <x14:dxf>
              <fill>
                <patternFill>
                  <bgColor theme="0" tint="-0.14996795556505021"/>
                </patternFill>
              </fill>
            </x14:dxf>
          </x14:cfRule>
          <xm:sqref>F73:G73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017FA-0625-4A30-9C8E-EA3BD7E19FC9}">
  <sheetPr>
    <pageSetUpPr fitToPage="1"/>
  </sheetPr>
  <dimension ref="A1:Y83"/>
  <sheetViews>
    <sheetView tabSelected="1" topLeftCell="A5" zoomScale="120" zoomScaleNormal="120" zoomScaleSheetLayoutView="120" workbookViewId="0">
      <selection activeCell="A19" sqref="A19:D21"/>
    </sheetView>
  </sheetViews>
  <sheetFormatPr baseColWidth="10" defaultColWidth="11.42578125" defaultRowHeight="12.75"/>
  <cols>
    <col min="1" max="1" width="11.85546875" style="142" customWidth="1"/>
    <col min="2" max="2" width="11.42578125" style="142"/>
    <col min="3" max="3" width="4.7109375" style="142" customWidth="1"/>
    <col min="4" max="4" width="6.140625" style="142" customWidth="1"/>
    <col min="5" max="6" width="6" style="142" customWidth="1"/>
    <col min="7" max="10" width="6.42578125" style="142" customWidth="1"/>
    <col min="11" max="11" width="11.42578125" style="142" customWidth="1"/>
    <col min="12" max="12" width="11.42578125" style="142"/>
    <col min="13" max="14" width="6.140625" style="142" customWidth="1"/>
    <col min="15" max="16384" width="11.42578125" style="142"/>
  </cols>
  <sheetData>
    <row r="1" spans="1:16" ht="42" customHeight="1" thickBot="1">
      <c r="A1" s="191" t="s">
        <v>1263</v>
      </c>
      <c r="B1" s="568" t="str">
        <f>HLOOKUP(Language,Translation,195)</f>
        <v>Supplier Approval Form</v>
      </c>
      <c r="C1" s="568"/>
      <c r="D1" s="568"/>
      <c r="E1" s="568"/>
      <c r="F1" s="568"/>
      <c r="G1" s="568"/>
      <c r="H1" s="568"/>
      <c r="I1" s="568"/>
      <c r="J1" s="568"/>
      <c r="K1" s="568"/>
      <c r="L1" s="959"/>
      <c r="M1" s="959"/>
      <c r="N1" s="960"/>
    </row>
    <row r="2" spans="1:16" ht="8.25" customHeight="1" thickBot="1"/>
    <row r="3" spans="1:16" ht="15.75" customHeight="1" thickBot="1">
      <c r="A3" s="794" t="str">
        <f>HLOOKUP(Language,Translation,226)</f>
        <v>Requester (Buyer)</v>
      </c>
      <c r="B3" s="795"/>
      <c r="C3" s="795"/>
      <c r="D3" s="795"/>
      <c r="E3" s="795"/>
      <c r="F3" s="795"/>
      <c r="G3" s="795"/>
      <c r="H3" s="795"/>
      <c r="I3" s="795"/>
      <c r="J3" s="795"/>
      <c r="K3" s="795"/>
      <c r="L3" s="795"/>
      <c r="M3" s="795"/>
      <c r="N3" s="796"/>
    </row>
    <row r="4" spans="1:16" ht="15" customHeight="1">
      <c r="A4" s="258" t="str">
        <f>HLOOKUP(Language,Translation,22)&amp;":"</f>
        <v>Name:</v>
      </c>
      <c r="B4" s="954"/>
      <c r="C4" s="955"/>
      <c r="D4" s="955"/>
      <c r="E4" s="955"/>
      <c r="F4" s="956"/>
      <c r="G4" s="957" t="str">
        <f>HLOOKUP(Language,Translation,227)</f>
        <v>Buyer Code:</v>
      </c>
      <c r="H4" s="957"/>
      <c r="I4" s="958"/>
      <c r="J4" s="165"/>
      <c r="K4" s="164" t="str">
        <f>HLOOKUP(Language,Translation,92)&amp;":"</f>
        <v>Date:</v>
      </c>
      <c r="L4" s="952"/>
      <c r="M4" s="953"/>
      <c r="N4" s="163"/>
    </row>
    <row r="5" spans="1:16" ht="15" customHeight="1">
      <c r="A5" s="969" t="str">
        <f>HLOOKUP(Language,Translation,308)</f>
        <v>The supplier is to be used in the following SAP system:</v>
      </c>
      <c r="B5" s="970"/>
      <c r="C5" s="970"/>
      <c r="D5" s="970"/>
      <c r="E5" s="970"/>
      <c r="F5" s="970"/>
      <c r="G5" s="970"/>
      <c r="H5" s="971" t="s">
        <v>118</v>
      </c>
      <c r="I5" s="972"/>
      <c r="J5" s="259"/>
      <c r="K5" s="260"/>
      <c r="L5" s="261"/>
      <c r="M5" s="261"/>
      <c r="N5" s="262"/>
    </row>
    <row r="6" spans="1:16" ht="26.25" customHeight="1" thickBot="1">
      <c r="A6" s="966" t="str">
        <f>IF(B4="",HLOOKUP(Language,Translation,230),HLOOKUP(Language,Translation,225))</f>
        <v>!!! For use by BENTELER only !!!</v>
      </c>
      <c r="B6" s="967"/>
      <c r="C6" s="967"/>
      <c r="D6" s="967"/>
      <c r="E6" s="967"/>
      <c r="F6" s="967"/>
      <c r="G6" s="967"/>
      <c r="H6" s="967"/>
      <c r="I6" s="967"/>
      <c r="J6" s="967"/>
      <c r="K6" s="967"/>
      <c r="L6" s="967"/>
      <c r="M6" s="967"/>
      <c r="N6" s="968"/>
      <c r="P6" s="156"/>
    </row>
    <row r="7" spans="1:16" ht="8.25" customHeight="1" thickBot="1">
      <c r="A7" s="143"/>
      <c r="O7" s="157"/>
    </row>
    <row r="8" spans="1:16" ht="15.75" customHeight="1" thickBot="1">
      <c r="A8" s="908" t="str">
        <f>"A:"&amp;" "&amp;HLOOKUP(Language,Translation,197)</f>
        <v>A: Supplier Information:</v>
      </c>
      <c r="B8" s="909"/>
      <c r="C8" s="909"/>
      <c r="D8" s="909"/>
      <c r="E8" s="909"/>
      <c r="F8" s="909"/>
      <c r="G8" s="909"/>
      <c r="H8" s="909"/>
      <c r="I8" s="909"/>
      <c r="J8" s="909"/>
      <c r="K8" s="909"/>
      <c r="L8" s="909"/>
      <c r="M8" s="909"/>
      <c r="N8" s="961"/>
    </row>
    <row r="9" spans="1:16" ht="16.5" customHeight="1">
      <c r="A9" s="161" t="str">
        <f>HLOOKUP(Language,Translation,5)&amp;":"</f>
        <v>Company name:</v>
      </c>
      <c r="B9" s="962">
        <f>'A Company Profile'!A5</f>
        <v>0</v>
      </c>
      <c r="C9" s="963"/>
      <c r="D9" s="963"/>
      <c r="E9" s="963"/>
      <c r="F9" s="963"/>
      <c r="G9" s="964"/>
      <c r="H9" s="962" t="str">
        <f>HLOOKUP(Language,Translation,196)&amp;":"</f>
        <v>Contact Person:</v>
      </c>
      <c r="I9" s="963"/>
      <c r="J9" s="964"/>
      <c r="K9" s="962">
        <f>'A Company Profile'!F11</f>
        <v>0</v>
      </c>
      <c r="L9" s="963"/>
      <c r="M9" s="963"/>
      <c r="N9" s="965"/>
    </row>
    <row r="10" spans="1:16" ht="21.75" customHeight="1">
      <c r="A10" s="158" t="str">
        <f>HLOOKUP(Language,Translation,6)</f>
        <v>Facility Address:</v>
      </c>
      <c r="B10" s="808">
        <f>'A Company Profile'!A9</f>
        <v>0</v>
      </c>
      <c r="C10" s="809"/>
      <c r="D10" s="809"/>
      <c r="E10" s="809"/>
      <c r="F10" s="809"/>
      <c r="G10" s="810"/>
      <c r="H10" s="808" t="str">
        <f>HLOOKUP(Language,Translation,21)</f>
        <v>Position:</v>
      </c>
      <c r="I10" s="809"/>
      <c r="J10" s="810"/>
      <c r="K10" s="808">
        <f>'A Company Profile'!F13</f>
        <v>0</v>
      </c>
      <c r="L10" s="809"/>
      <c r="M10" s="809"/>
      <c r="N10" s="913"/>
    </row>
    <row r="11" spans="1:16" ht="21.75" customHeight="1">
      <c r="A11" s="158" t="str">
        <f>HLOOKUP(Language,Translation,7)</f>
        <v>Post code, City, State:</v>
      </c>
      <c r="B11" s="808">
        <f>'A Company Profile'!A11</f>
        <v>0</v>
      </c>
      <c r="C11" s="809"/>
      <c r="D11" s="809"/>
      <c r="E11" s="809"/>
      <c r="F11" s="809"/>
      <c r="G11" s="810"/>
      <c r="H11" s="808" t="str">
        <f>HLOOKUP(Language,Translation,269)</f>
        <v>Language of communication:</v>
      </c>
      <c r="I11" s="809"/>
      <c r="J11" s="810"/>
      <c r="K11" s="808">
        <f>'A Company Profile'!F15</f>
        <v>0</v>
      </c>
      <c r="L11" s="809"/>
      <c r="M11" s="809"/>
      <c r="N11" s="913"/>
    </row>
    <row r="12" spans="1:16" ht="16.5" customHeight="1">
      <c r="A12" s="158" t="str">
        <f>HLOOKUP(Language,Translation,8)</f>
        <v>Country:</v>
      </c>
      <c r="B12" s="808" t="str">
        <f>'A Company Profile'!A13</f>
        <v>Please select!</v>
      </c>
      <c r="C12" s="809"/>
      <c r="D12" s="809"/>
      <c r="E12" s="809"/>
      <c r="F12" s="809"/>
      <c r="G12" s="810"/>
      <c r="H12" s="808" t="str">
        <f>HLOOKUP(Language,Translation,14)</f>
        <v>Telephone-No.:</v>
      </c>
      <c r="I12" s="809"/>
      <c r="J12" s="810"/>
      <c r="K12" s="808">
        <f>'A Company Profile'!F17</f>
        <v>0</v>
      </c>
      <c r="L12" s="809"/>
      <c r="M12" s="809"/>
      <c r="N12" s="913"/>
    </row>
    <row r="13" spans="1:16" ht="16.5" customHeight="1">
      <c r="A13" s="158" t="str">
        <f>HLOOKUP(Language,Translation,11)</f>
        <v>DUNS-Number:</v>
      </c>
      <c r="B13" s="808">
        <f>'A Company Profile'!A21</f>
        <v>0</v>
      </c>
      <c r="C13" s="809"/>
      <c r="D13" s="809"/>
      <c r="E13" s="809"/>
      <c r="F13" s="809"/>
      <c r="G13" s="810"/>
      <c r="H13" s="808" t="str">
        <f>HLOOKUP(Language,Translation,15)</f>
        <v>Fax-No.:</v>
      </c>
      <c r="I13" s="809"/>
      <c r="J13" s="810"/>
      <c r="K13" s="808">
        <f>'A Company Profile'!F19</f>
        <v>0</v>
      </c>
      <c r="L13" s="809"/>
      <c r="M13" s="809"/>
      <c r="N13" s="913"/>
    </row>
    <row r="14" spans="1:16" ht="16.5" customHeight="1">
      <c r="A14" s="818" t="str">
        <f>HLOOKUP(Language,Translation,268)</f>
        <v>Tax identification number:</v>
      </c>
      <c r="B14" s="809"/>
      <c r="C14" s="810"/>
      <c r="D14" s="808">
        <f>'A Company Profile'!A17</f>
        <v>0</v>
      </c>
      <c r="E14" s="809"/>
      <c r="F14" s="809"/>
      <c r="G14" s="810"/>
      <c r="H14" s="808" t="str">
        <f>HLOOKUP(Language,Translation,16)</f>
        <v>E-mail address:</v>
      </c>
      <c r="I14" s="809"/>
      <c r="J14" s="810"/>
      <c r="K14" s="808">
        <f>'A Company Profile'!F21</f>
        <v>0</v>
      </c>
      <c r="L14" s="809"/>
      <c r="M14" s="809"/>
      <c r="N14" s="913"/>
    </row>
    <row r="15" spans="1:16" ht="16.5" customHeight="1" thickBot="1">
      <c r="A15" s="816" t="str">
        <f>HLOOKUP(Language,Translation,10)</f>
        <v>VAT-/ USCC-/ GSTIN- Number:</v>
      </c>
      <c r="B15" s="828"/>
      <c r="C15" s="817"/>
      <c r="D15" s="827">
        <f>'A Company Profile'!A19</f>
        <v>0</v>
      </c>
      <c r="E15" s="828"/>
      <c r="F15" s="828"/>
      <c r="G15" s="817"/>
      <c r="H15" s="827" t="str">
        <f>HLOOKUP(Language,Translation,12)</f>
        <v>Commercial register number:</v>
      </c>
      <c r="I15" s="828"/>
      <c r="J15" s="828"/>
      <c r="K15" s="817"/>
      <c r="L15" s="827">
        <f>'A Company Profile'!A23</f>
        <v>0</v>
      </c>
      <c r="M15" s="828"/>
      <c r="N15" s="912"/>
    </row>
    <row r="16" spans="1:16" ht="8.25" customHeight="1" thickBot="1">
      <c r="A16" s="144"/>
    </row>
    <row r="17" spans="1:25" ht="15.75" customHeight="1" thickBot="1">
      <c r="A17" s="908" t="str">
        <f>"B:"&amp;" "&amp;HLOOKUP(Language,Translation,3)&amp;" &amp; "&amp;HLOOKUP(Language,Translation,200)</f>
        <v>B: Vendor Class &amp; Technology Class / Code</v>
      </c>
      <c r="B17" s="909"/>
      <c r="C17" s="909"/>
      <c r="D17" s="909"/>
      <c r="E17" s="909"/>
      <c r="F17" s="909"/>
      <c r="G17" s="909"/>
      <c r="H17" s="910" t="str">
        <f>HLOOKUP(Language,Translation,245)</f>
        <v>(TC acc. to: BS.PU.002 Material, Technology Definition)</v>
      </c>
      <c r="I17" s="910"/>
      <c r="J17" s="910"/>
      <c r="K17" s="910"/>
      <c r="L17" s="910"/>
      <c r="M17" s="910"/>
      <c r="N17" s="911"/>
    </row>
    <row r="18" spans="1:25" ht="15.75" customHeight="1">
      <c r="A18" s="791" t="str">
        <f>HLOOKUP(Language,Translation,3)&amp;":"</f>
        <v>Vendor Class:</v>
      </c>
      <c r="B18" s="792"/>
      <c r="C18" s="792"/>
      <c r="D18" s="793"/>
      <c r="E18" s="773" t="str">
        <f>HLOOKUP(Language,Translation,199)</f>
        <v>Technology Classes / Codes:</v>
      </c>
      <c r="F18" s="774"/>
      <c r="G18" s="774"/>
      <c r="H18" s="774"/>
      <c r="I18" s="777" t="str">
        <f>HLOOKUP(Language,Translation,290)</f>
        <v>Is this supplier a laboratory?</v>
      </c>
      <c r="J18" s="777"/>
      <c r="K18" s="777"/>
      <c r="L18" s="778"/>
      <c r="M18" s="775" t="s">
        <v>118</v>
      </c>
      <c r="N18" s="776"/>
    </row>
    <row r="19" spans="1:25" ht="13.5" customHeight="1">
      <c r="A19" s="800" t="s">
        <v>125</v>
      </c>
      <c r="B19" s="801"/>
      <c r="C19" s="801"/>
      <c r="D19" s="801"/>
      <c r="E19" s="808" t="str">
        <f>"1."&amp;" "&amp;HLOOKUP(Language,Translation,200)&amp;":"</f>
        <v>1. Technology Class / Code:</v>
      </c>
      <c r="F19" s="809"/>
      <c r="G19" s="809"/>
      <c r="H19" s="810"/>
      <c r="I19" s="819" t="s">
        <v>118</v>
      </c>
      <c r="J19" s="820"/>
      <c r="K19" s="820"/>
      <c r="L19" s="820"/>
      <c r="M19" s="820"/>
      <c r="N19" s="821"/>
    </row>
    <row r="20" spans="1:25" ht="13.5" customHeight="1">
      <c r="A20" s="800"/>
      <c r="B20" s="801"/>
      <c r="C20" s="801"/>
      <c r="D20" s="801"/>
      <c r="E20" s="808" t="str">
        <f>"2."&amp;" "&amp;HLOOKUP(Language,Translation,200)&amp;":"</f>
        <v>2. Technology Class / Code:</v>
      </c>
      <c r="F20" s="809"/>
      <c r="G20" s="809"/>
      <c r="H20" s="810"/>
      <c r="I20" s="819" t="s">
        <v>118</v>
      </c>
      <c r="J20" s="820"/>
      <c r="K20" s="820"/>
      <c r="L20" s="820"/>
      <c r="M20" s="820"/>
      <c r="N20" s="821"/>
    </row>
    <row r="21" spans="1:25" ht="13.5" customHeight="1" thickBot="1">
      <c r="A21" s="802"/>
      <c r="B21" s="803"/>
      <c r="C21" s="803"/>
      <c r="D21" s="803"/>
      <c r="E21" s="827" t="str">
        <f>"3."&amp;" "&amp;HLOOKUP(Language,Translation,200)&amp;":"</f>
        <v>3. Technology Class / Code:</v>
      </c>
      <c r="F21" s="828"/>
      <c r="G21" s="828"/>
      <c r="H21" s="817"/>
      <c r="I21" s="829" t="s">
        <v>118</v>
      </c>
      <c r="J21" s="830"/>
      <c r="K21" s="830"/>
      <c r="L21" s="830"/>
      <c r="M21" s="830"/>
      <c r="N21" s="831"/>
    </row>
    <row r="22" spans="1:25" ht="8.25" customHeight="1" thickBot="1">
      <c r="A22" s="145"/>
    </row>
    <row r="23" spans="1:25" ht="15.75" customHeight="1" thickBot="1">
      <c r="A23" s="794" t="str">
        <f>"C:"&amp;" "&amp;HLOOKUP(Language,Translation,201)</f>
        <v>C: Information Required</v>
      </c>
      <c r="B23" s="795"/>
      <c r="C23" s="795"/>
      <c r="D23" s="795"/>
      <c r="E23" s="795"/>
      <c r="F23" s="795"/>
      <c r="G23" s="795"/>
      <c r="H23" s="795"/>
      <c r="I23" s="795"/>
      <c r="J23" s="795"/>
      <c r="K23" s="795"/>
      <c r="L23" s="795"/>
      <c r="M23" s="795"/>
      <c r="N23" s="796"/>
    </row>
    <row r="24" spans="1:25" ht="21" customHeight="1">
      <c r="A24" s="797" t="str">
        <f>HLOOKUP(Language,Translation,205)</f>
        <v>Requirement</v>
      </c>
      <c r="B24" s="798"/>
      <c r="C24" s="799"/>
      <c r="D24" s="146" t="str">
        <f>HLOOKUP(Language,Translation,206)</f>
        <v>Mandatory*:</v>
      </c>
      <c r="E24" s="814" t="str">
        <f>HLOOKUP(Language,Translation,247)&amp;"?"</f>
        <v>Enclosed?</v>
      </c>
      <c r="F24" s="815"/>
      <c r="G24" s="814" t="str">
        <f>HLOOKUP(Language,Translation,93)</f>
        <v>Result</v>
      </c>
      <c r="H24" s="858"/>
      <c r="I24" s="858"/>
      <c r="J24" s="858"/>
      <c r="K24" s="814" t="str">
        <f>HLOOKUP(Language,Translation,42)</f>
        <v>Comments</v>
      </c>
      <c r="L24" s="858"/>
      <c r="M24" s="858"/>
      <c r="N24" s="859"/>
    </row>
    <row r="25" spans="1:25">
      <c r="A25" s="790" t="str">
        <f>"T.PU.005"&amp;" "&amp;HLOOKUP(Language,Translation,2)</f>
        <v>T.PU.005 Supplier Self-Assessment</v>
      </c>
      <c r="B25" s="779"/>
      <c r="C25" s="779"/>
      <c r="D25" s="147" t="str">
        <f>HLOOKUP(VC,Requirements,2)</f>
        <v>x</v>
      </c>
      <c r="E25" s="771" t="s">
        <v>118</v>
      </c>
      <c r="F25" s="786"/>
      <c r="G25" s="832" t="s">
        <v>406</v>
      </c>
      <c r="H25" s="833"/>
      <c r="I25" s="906">
        <f>'Language table'!M4</f>
        <v>0</v>
      </c>
      <c r="J25" s="907"/>
      <c r="K25" s="904" t="str">
        <f>IF(VC='Language table'!B3,"",IF(AND('Language table'!N4="The total number of points is sufficient.",'Language table'!O4="All dealbreaker passed"),HLOOKUP(Language,Translation,243),HLOOKUP(Language,Translation,244)))</f>
        <v>Social Responsibility Check not passed</v>
      </c>
      <c r="L25" s="904"/>
      <c r="M25" s="904"/>
      <c r="N25" s="905"/>
    </row>
    <row r="26" spans="1:25" ht="23.25" customHeight="1">
      <c r="A26" s="790" t="str">
        <f>HLOOKUP(Language,Translation,202)&amp;" "&amp;HLOOKUP(Language,Translation,229)</f>
        <v>VDA 6.3 Potential Analysis P1  (self-audit)</v>
      </c>
      <c r="B26" s="779"/>
      <c r="C26" s="779"/>
      <c r="D26" s="147" t="str">
        <f>HLOOKUP(VC,Requirements,3)</f>
        <v>(x)</v>
      </c>
      <c r="E26" s="771" t="s">
        <v>118</v>
      </c>
      <c r="F26" s="786"/>
      <c r="G26" s="832" t="str">
        <f>HLOOKUP(Language,Translation,191)&amp;":"</f>
        <v>Rating:</v>
      </c>
      <c r="H26" s="833"/>
      <c r="I26" s="771" t="s">
        <v>118</v>
      </c>
      <c r="J26" s="786"/>
      <c r="K26" s="787"/>
      <c r="L26" s="788"/>
      <c r="M26" s="788"/>
      <c r="N26" s="789"/>
      <c r="Y26" s="148"/>
    </row>
    <row r="27" spans="1:25" ht="12.75" customHeight="1">
      <c r="A27" s="949" t="str">
        <f>HLOOKUP(Language,Translation,79)</f>
        <v>Management Certification</v>
      </c>
      <c r="B27" s="779" t="str">
        <f>HLOOKUP(Language,Translation,83)</f>
        <v>IATF 16949</v>
      </c>
      <c r="C27" s="779"/>
      <c r="D27" s="147" t="str">
        <f>HLOOKUP(VC,Requirements,4)</f>
        <v>(x)</v>
      </c>
      <c r="E27" s="771" t="s">
        <v>118</v>
      </c>
      <c r="F27" s="786"/>
      <c r="G27" s="832" t="str">
        <f t="shared" ref="G27:G31" si="0">HLOOKUP(Language,Translation,66)&amp;":"</f>
        <v>Expiration date:</v>
      </c>
      <c r="H27" s="833"/>
      <c r="I27" s="784" t="str">
        <f>IF(OR(AND(D27="x",'B Financial &amp; C Quality'!D30='Language table'!D4),AND(D27="(x)",'B Financial &amp; C Quality'!H30="")),"",'B Financial &amp; C Quality'!H30)</f>
        <v/>
      </c>
      <c r="J27" s="785"/>
      <c r="K27" s="787"/>
      <c r="L27" s="788"/>
      <c r="M27" s="788"/>
      <c r="N27" s="789"/>
      <c r="O27" s="157"/>
    </row>
    <row r="28" spans="1:25">
      <c r="A28" s="950"/>
      <c r="B28" s="779" t="str">
        <f>HLOOKUP(Language,Translation,204)</f>
        <v>VDA 6.1</v>
      </c>
      <c r="C28" s="779"/>
      <c r="D28" s="147" t="str">
        <f>HLOOKUP(VC,Requirements,5)</f>
        <v>(x)</v>
      </c>
      <c r="E28" s="771" t="s">
        <v>118</v>
      </c>
      <c r="F28" s="786"/>
      <c r="G28" s="832" t="str">
        <f t="shared" si="0"/>
        <v>Expiration date:</v>
      </c>
      <c r="H28" s="833"/>
      <c r="I28" s="782" t="str">
        <f>IF(AND(D28="(x)",'B Financial &amp; C Quality'!H31=""),"",'B Financial &amp; C Quality'!H31)</f>
        <v/>
      </c>
      <c r="J28" s="783"/>
      <c r="K28" s="787"/>
      <c r="L28" s="788"/>
      <c r="M28" s="788"/>
      <c r="N28" s="789"/>
    </row>
    <row r="29" spans="1:25">
      <c r="A29" s="950"/>
      <c r="B29" s="779" t="str">
        <f>HLOOKUP(Language,Translation,82)</f>
        <v>ISO 9001</v>
      </c>
      <c r="C29" s="779"/>
      <c r="D29" s="147" t="str">
        <f>HLOOKUP(VC,Requirements,6)</f>
        <v>x</v>
      </c>
      <c r="E29" s="771" t="s">
        <v>118</v>
      </c>
      <c r="F29" s="786"/>
      <c r="G29" s="832" t="str">
        <f t="shared" si="0"/>
        <v>Expiration date:</v>
      </c>
      <c r="H29" s="833"/>
      <c r="I29" s="784">
        <f>IF(AND(D29="(x)",'B Financial &amp; C Quality'!H29=""),"",'B Financial &amp; C Quality'!H29)</f>
        <v>0</v>
      </c>
      <c r="J29" s="785"/>
      <c r="K29" s="787"/>
      <c r="L29" s="788"/>
      <c r="M29" s="788"/>
      <c r="N29" s="789"/>
    </row>
    <row r="30" spans="1:25" ht="24" customHeight="1">
      <c r="A30" s="950"/>
      <c r="B30" s="779" t="str">
        <f>HLOOKUP(Language,Translation,84)</f>
        <v>ISO 17025 (only Laboratory)</v>
      </c>
      <c r="C30" s="779"/>
      <c r="D30" s="147" t="str">
        <f>HLOOKUP(VC,Requirements,7)</f>
        <v>-</v>
      </c>
      <c r="E30" s="771" t="s">
        <v>118</v>
      </c>
      <c r="F30" s="786"/>
      <c r="G30" s="780" t="str">
        <f t="shared" si="0"/>
        <v>Expiration date:</v>
      </c>
      <c r="H30" s="781"/>
      <c r="I30" s="922">
        <f>IF(AND(D30="(x)",'B Financial &amp; C Quality'!H32=""),"",'B Financial &amp; C Quality'!H32)</f>
        <v>0</v>
      </c>
      <c r="J30" s="923"/>
      <c r="K30" s="787"/>
      <c r="L30" s="788"/>
      <c r="M30" s="788"/>
      <c r="N30" s="789"/>
    </row>
    <row r="31" spans="1:25" ht="12.75" customHeight="1">
      <c r="A31" s="950"/>
      <c r="B31" s="924" t="str">
        <f>HLOOKUP(Language,Translation,256)&amp;":"</f>
        <v>Cyber Security:</v>
      </c>
      <c r="C31" s="925"/>
      <c r="D31" s="914" t="str">
        <f>HLOOKUP(VC,Requirements,8)</f>
        <v>x</v>
      </c>
      <c r="E31" s="804" t="s">
        <v>118</v>
      </c>
      <c r="F31" s="805"/>
      <c r="G31" s="832" t="str">
        <f t="shared" si="0"/>
        <v>Expiration date:</v>
      </c>
      <c r="H31" s="833"/>
      <c r="I31" s="922">
        <f>IF(AND(D31="(x)",'B Financial &amp; C Quality'!H36=""),"",'B Financial &amp; C Quality'!H36)</f>
        <v>0</v>
      </c>
      <c r="J31" s="923"/>
      <c r="K31" s="940"/>
      <c r="L31" s="941"/>
      <c r="M31" s="941"/>
      <c r="N31" s="942"/>
      <c r="O31" s="157"/>
    </row>
    <row r="32" spans="1:25" ht="12.75" customHeight="1">
      <c r="A32" s="950"/>
      <c r="B32" s="935" t="str">
        <f>'B Financial &amp; C Quality'!D36</f>
        <v>Please select!</v>
      </c>
      <c r="C32" s="936"/>
      <c r="D32" s="915"/>
      <c r="E32" s="917"/>
      <c r="F32" s="918"/>
      <c r="G32" s="938" t="str">
        <f>HLOOKUP(Language,Translation,287)</f>
        <v>Cyber Security Category:</v>
      </c>
      <c r="H32" s="939"/>
      <c r="I32" s="939"/>
      <c r="J32" s="235" t="s">
        <v>1570</v>
      </c>
      <c r="K32" s="943"/>
      <c r="L32" s="944"/>
      <c r="M32" s="944"/>
      <c r="N32" s="945"/>
      <c r="O32" s="157"/>
    </row>
    <row r="33" spans="1:15">
      <c r="A33" s="951"/>
      <c r="B33" s="937"/>
      <c r="C33" s="848"/>
      <c r="D33" s="916"/>
      <c r="E33" s="806"/>
      <c r="F33" s="807"/>
      <c r="G33" s="919" t="s">
        <v>118</v>
      </c>
      <c r="H33" s="920"/>
      <c r="I33" s="920"/>
      <c r="J33" s="921"/>
      <c r="K33" s="946"/>
      <c r="L33" s="947"/>
      <c r="M33" s="947"/>
      <c r="N33" s="948"/>
    </row>
    <row r="34" spans="1:15" ht="33.75" customHeight="1">
      <c r="A34" s="790" t="str">
        <f>IF(VC='Language table'!C3,HLOOKUP(Language,Translation,203),IF(VC='Language table'!D3,HLOOKUP(Language,Translation,203)&amp;" / "&amp;HLOOKUP(Language,Translation,228),HLOOKUP(Language,Translation,228)))</f>
        <v>BENTELER General Supply Contract / BENTELER General Terms and Conditions</v>
      </c>
      <c r="B34" s="779"/>
      <c r="C34" s="779"/>
      <c r="D34" s="147" t="str">
        <f>HLOOKUP(VC,Requirements,9)</f>
        <v>x</v>
      </c>
      <c r="E34" s="771" t="s">
        <v>118</v>
      </c>
      <c r="F34" s="786"/>
      <c r="G34" s="832" t="str">
        <f>HLOOKUP(Language,Translation,215)</f>
        <v>HZP No.:</v>
      </c>
      <c r="H34" s="928"/>
      <c r="I34" s="834"/>
      <c r="J34" s="835"/>
      <c r="K34" s="787"/>
      <c r="L34" s="788"/>
      <c r="M34" s="788"/>
      <c r="N34" s="789"/>
    </row>
    <row r="35" spans="1:15" ht="22.5" customHeight="1">
      <c r="A35" s="926" t="str">
        <f>HLOOKUP(Language,Translation,208)</f>
        <v>Proof of Insurance</v>
      </c>
      <c r="B35" s="927"/>
      <c r="C35" s="925"/>
      <c r="D35" s="856" t="str">
        <f>HLOOKUP(VC,Requirements,10)</f>
        <v>x</v>
      </c>
      <c r="E35" s="811" t="s">
        <v>118</v>
      </c>
      <c r="F35" s="812"/>
      <c r="G35" s="812"/>
      <c r="H35" s="812"/>
      <c r="I35" s="812"/>
      <c r="J35" s="812"/>
      <c r="K35" s="812"/>
      <c r="L35" s="812"/>
      <c r="M35" s="812"/>
      <c r="N35" s="813"/>
    </row>
    <row r="36" spans="1:15" ht="12.75" customHeight="1">
      <c r="A36" s="847"/>
      <c r="B36" s="931"/>
      <c r="C36" s="848"/>
      <c r="D36" s="857"/>
      <c r="E36" s="808" t="str">
        <f>HLOOKUP(Language,Translation,216)</f>
        <v>All required insurance certificates according to BS.PU.002.An.01 attached:</v>
      </c>
      <c r="F36" s="809"/>
      <c r="G36" s="809"/>
      <c r="H36" s="809"/>
      <c r="I36" s="809"/>
      <c r="J36" s="809"/>
      <c r="K36" s="809"/>
      <c r="L36" s="810"/>
      <c r="M36" s="771" t="s">
        <v>118</v>
      </c>
      <c r="N36" s="772"/>
    </row>
    <row r="37" spans="1:15">
      <c r="A37" s="926" t="str">
        <f>HLOOKUP(Language,Translation,209)</f>
        <v>BENTELER Supplier Quality Requirement</v>
      </c>
      <c r="B37" s="927"/>
      <c r="C37" s="925"/>
      <c r="D37" s="856" t="str">
        <f>HLOOKUP(VC,Requirements,11)</f>
        <v>x²</v>
      </c>
      <c r="E37" s="804" t="s">
        <v>118</v>
      </c>
      <c r="F37" s="997"/>
      <c r="G37" s="808" t="s">
        <v>591</v>
      </c>
      <c r="H37" s="810"/>
      <c r="I37" s="771" t="s">
        <v>118</v>
      </c>
      <c r="J37" s="786"/>
      <c r="K37" s="987" t="str">
        <f>HLOOKUP(Language,Translation,215)</f>
        <v>HZP No.:</v>
      </c>
      <c r="L37" s="940"/>
      <c r="M37" s="941"/>
      <c r="N37" s="942"/>
    </row>
    <row r="38" spans="1:15">
      <c r="A38" s="847"/>
      <c r="B38" s="931"/>
      <c r="C38" s="848"/>
      <c r="D38" s="857"/>
      <c r="E38" s="806"/>
      <c r="F38" s="998"/>
      <c r="G38" s="808" t="str">
        <f>HLOOKUP(Language,Translation,218)</f>
        <v>Special approval:</v>
      </c>
      <c r="H38" s="810"/>
      <c r="I38" s="771" t="s">
        <v>118</v>
      </c>
      <c r="J38" s="786"/>
      <c r="K38" s="988"/>
      <c r="L38" s="946"/>
      <c r="M38" s="947"/>
      <c r="N38" s="948"/>
    </row>
    <row r="39" spans="1:15" ht="12.75" customHeight="1">
      <c r="A39" s="926" t="str">
        <f>HLOOKUP(Language,Translation,210)</f>
        <v xml:space="preserve">Risk Assessment </v>
      </c>
      <c r="B39" s="927"/>
      <c r="C39" s="925"/>
      <c r="D39" s="147" t="str">
        <f>HLOOKUP(VC,Requirements,12)</f>
        <v>x³/(x)</v>
      </c>
      <c r="E39" s="832" t="str">
        <f>HLOOKUP(Language,Translation,219)</f>
        <v>D&amp;B Rating:</v>
      </c>
      <c r="F39" s="833"/>
      <c r="G39" s="929"/>
      <c r="H39" s="930"/>
      <c r="I39" s="932"/>
      <c r="J39" s="933"/>
      <c r="K39" s="934"/>
      <c r="L39" s="788"/>
      <c r="M39" s="788"/>
      <c r="N39" s="789"/>
    </row>
    <row r="40" spans="1:15">
      <c r="A40" s="818" t="str">
        <f>HLOOKUP(Language,Translation,211)</f>
        <v xml:space="preserve">Supplier Logistic Manual </v>
      </c>
      <c r="B40" s="809"/>
      <c r="C40" s="810"/>
      <c r="D40" s="147" t="str">
        <f>HLOOKUP(VC,Requirements,13)</f>
        <v>x³</v>
      </c>
      <c r="E40" s="771" t="s">
        <v>118</v>
      </c>
      <c r="F40" s="786"/>
      <c r="G40" s="973" t="str">
        <f>HLOOKUP(Language,Translation,215)</f>
        <v>HZP No.:</v>
      </c>
      <c r="H40" s="974"/>
      <c r="I40" s="1002"/>
      <c r="J40" s="1003"/>
      <c r="K40" s="787"/>
      <c r="L40" s="788"/>
      <c r="M40" s="788"/>
      <c r="N40" s="789"/>
    </row>
    <row r="41" spans="1:15">
      <c r="A41" s="926" t="str">
        <f>HLOOKUP(Language,Translation,29)</f>
        <v>PSCR / Product Safety and Conformity Representative</v>
      </c>
      <c r="B41" s="927"/>
      <c r="C41" s="925"/>
      <c r="D41" s="856" t="str">
        <f>HLOOKUP(VC,Requirements,14)</f>
        <v>-</v>
      </c>
      <c r="E41" s="804" t="s">
        <v>118</v>
      </c>
      <c r="F41" s="805"/>
      <c r="G41" s="808" t="str">
        <f>HLOOKUP(Language,Translation,22)</f>
        <v>Name</v>
      </c>
      <c r="H41" s="810"/>
      <c r="I41" s="808" t="str">
        <f>IF('A Company Profile'!C34&lt;&gt;"",'A Company Profile'!C34,"")</f>
        <v/>
      </c>
      <c r="J41" s="809"/>
      <c r="K41" s="809"/>
      <c r="L41" s="809"/>
      <c r="M41" s="809"/>
      <c r="N41" s="913"/>
    </row>
    <row r="42" spans="1:15">
      <c r="A42" s="847"/>
      <c r="B42" s="931"/>
      <c r="C42" s="848"/>
      <c r="D42" s="857"/>
      <c r="E42" s="806"/>
      <c r="F42" s="807"/>
      <c r="G42" s="808" t="str">
        <f>HLOOKUP(Language,Translation,16)</f>
        <v>E-mail address:</v>
      </c>
      <c r="H42" s="810"/>
      <c r="I42" s="808" t="str">
        <f>IF('A Company Profile'!F34&lt;&gt;"",'A Company Profile'!F34,"")</f>
        <v/>
      </c>
      <c r="J42" s="809"/>
      <c r="K42" s="809"/>
      <c r="L42" s="809"/>
      <c r="M42" s="809"/>
      <c r="N42" s="913"/>
    </row>
    <row r="43" spans="1:15" ht="12" customHeight="1">
      <c r="A43" s="926" t="str">
        <f>HLOOKUP(Language,Translation,265)</f>
        <v>Business Partner Check</v>
      </c>
      <c r="B43" s="927"/>
      <c r="C43" s="925"/>
      <c r="D43" s="914" t="str">
        <f>HLOOKUP(VC,Requirements,15)</f>
        <v>x</v>
      </c>
      <c r="E43" s="979" t="str">
        <f>HLOOKUP(Language,Translation,266)</f>
        <v>Sanction list check conducted, Business Partner is listed</v>
      </c>
      <c r="F43" s="980"/>
      <c r="G43" s="980"/>
      <c r="H43" s="980"/>
      <c r="I43" s="980"/>
      <c r="J43" s="980"/>
      <c r="K43" s="980"/>
      <c r="L43" s="981"/>
      <c r="M43" s="771" t="s">
        <v>118</v>
      </c>
      <c r="N43" s="772"/>
    </row>
    <row r="44" spans="1:15">
      <c r="A44" s="982"/>
      <c r="B44" s="983"/>
      <c r="C44" s="936"/>
      <c r="D44" s="915"/>
      <c r="E44" s="937" t="e">
        <f>IF(VLOOKUP('A Company Profile'!A13,BPC,3,FALSE)=100,HLOOKUP(Language,Translation,272),IF(VLOOKUP('A Company Profile'!A13,BPC,3,FALSE)=1,HLOOKUP(Language,Translation,271),""))</f>
        <v>#N/A</v>
      </c>
      <c r="F44" s="931"/>
      <c r="G44" s="931"/>
      <c r="H44" s="931"/>
      <c r="I44" s="931"/>
      <c r="J44" s="931"/>
      <c r="K44" s="931"/>
      <c r="L44" s="848"/>
      <c r="M44" s="771" t="s">
        <v>118</v>
      </c>
      <c r="N44" s="772"/>
    </row>
    <row r="45" spans="1:15">
      <c r="A45" s="847"/>
      <c r="B45" s="931"/>
      <c r="C45" s="848"/>
      <c r="D45" s="916"/>
      <c r="E45" s="808" t="e">
        <f>IF(VLOOKUP('A Company Profile'!A13,BPC,2,FALSE)&gt;50,HLOOKUP(Language,Translation,309),"")</f>
        <v>#N/A</v>
      </c>
      <c r="F45" s="809"/>
      <c r="G45" s="809"/>
      <c r="H45" s="809"/>
      <c r="I45" s="809"/>
      <c r="J45" s="809"/>
      <c r="K45" s="809"/>
      <c r="L45" s="810"/>
      <c r="M45" s="771" t="s">
        <v>118</v>
      </c>
      <c r="N45" s="772"/>
    </row>
    <row r="46" spans="1:15" ht="22.5">
      <c r="A46" s="818" t="str">
        <f>'Language table'!F28</f>
        <v>SupplyOn Plattform</v>
      </c>
      <c r="B46" s="809"/>
      <c r="C46" s="809"/>
      <c r="D46" s="147" t="str">
        <f>HLOOKUP(VC,Requirements,16)</f>
        <v>-</v>
      </c>
      <c r="E46" s="832" t="str">
        <f>HLOOKUP(Language,Translation,305)</f>
        <v>Registered:</v>
      </c>
      <c r="F46" s="833"/>
      <c r="G46" s="256" t="str">
        <f>'B Financial &amp; C Quality'!J58</f>
        <v>Please select!</v>
      </c>
      <c r="H46" s="928" t="str">
        <f>HLOOKUP(Language,Translation,306)</f>
        <v>Uses ProMa:</v>
      </c>
      <c r="I46" s="833"/>
      <c r="J46" s="256" t="str">
        <f>'B Financial &amp; C Quality'!J59</f>
        <v>Please select!</v>
      </c>
      <c r="K46" s="975" t="str">
        <f>HLOOKUP(Language,Translation,307)</f>
        <v>Will use ProMa:</v>
      </c>
      <c r="L46" s="976"/>
      <c r="M46" s="977" t="str">
        <f>'B Financial &amp; C Quality'!J60</f>
        <v>Please select!</v>
      </c>
      <c r="N46" s="978"/>
    </row>
    <row r="47" spans="1:15">
      <c r="A47" s="168" t="str">
        <f>HLOOKUP(Language,Translation,246)&amp;":"</f>
        <v>Currency:</v>
      </c>
      <c r="B47" s="991" t="str">
        <f>'B Financial &amp; C Quality'!D17</f>
        <v>Please select!</v>
      </c>
      <c r="C47" s="992"/>
      <c r="D47" s="992"/>
      <c r="E47" s="992"/>
      <c r="F47" s="993"/>
      <c r="G47" s="989" t="str">
        <f>HLOOKUP(Language,Translation,77)&amp;":"</f>
        <v>Incoterm:</v>
      </c>
      <c r="H47" s="990"/>
      <c r="I47" s="994" t="str">
        <f>'B Financial &amp; C Quality'!D19</f>
        <v>Please select!</v>
      </c>
      <c r="J47" s="995"/>
      <c r="K47" s="995"/>
      <c r="L47" s="995"/>
      <c r="M47" s="995"/>
      <c r="N47" s="996"/>
      <c r="O47" s="157"/>
    </row>
    <row r="48" spans="1:15" ht="15.75" customHeight="1" thickBot="1">
      <c r="A48" s="999" t="str">
        <f>HLOOKUP(Language,Translation,207)</f>
        <v>* x = yes; - = no; (x) = optional; x¹ = only VW; x² = acc. to BS.PU.002.An.01 / BST_PR_AD026; x³ = for serial supply</v>
      </c>
      <c r="B48" s="1000"/>
      <c r="C48" s="1000"/>
      <c r="D48" s="1000"/>
      <c r="E48" s="1000"/>
      <c r="F48" s="1000"/>
      <c r="G48" s="1000"/>
      <c r="H48" s="1000"/>
      <c r="I48" s="1000"/>
      <c r="J48" s="1000"/>
      <c r="K48" s="1000"/>
      <c r="L48" s="1000"/>
      <c r="M48" s="1000"/>
      <c r="N48" s="1001"/>
    </row>
    <row r="49" spans="1:18" ht="19.5" customHeight="1">
      <c r="A49" s="862" t="str">
        <f>HLOOKUP(Language,Translation,238)</f>
        <v>Decision by:</v>
      </c>
      <c r="B49" s="863"/>
      <c r="C49" s="864"/>
      <c r="D49" s="864"/>
      <c r="E49" s="864"/>
      <c r="F49" s="864"/>
      <c r="G49" s="864"/>
      <c r="H49" s="864"/>
      <c r="I49" s="864"/>
      <c r="J49" s="864"/>
      <c r="K49" s="864"/>
      <c r="L49" s="864"/>
      <c r="M49" s="864"/>
      <c r="N49" s="865"/>
    </row>
    <row r="50" spans="1:18" ht="35.25" customHeight="1">
      <c r="A50" s="152" t="str">
        <f>HLOOKUP(Language,Translation,208)&amp;":"</f>
        <v>Proof of Insurance:</v>
      </c>
      <c r="B50" s="866" t="str">
        <f>HLOOKUP(Language,Translation,212)</f>
        <v>Insurance Department</v>
      </c>
      <c r="C50" s="867"/>
      <c r="D50" s="867"/>
      <c r="E50" s="867"/>
      <c r="F50" s="867"/>
      <c r="G50" s="867"/>
      <c r="H50" s="896" t="str">
        <f>HLOOKUP(Language,Translation,256)&amp;":"</f>
        <v>Cyber Security:</v>
      </c>
      <c r="I50" s="897"/>
      <c r="J50" s="866" t="str">
        <f>HLOOKUP(Language,Translation,267)</f>
        <v>Regional Information Security Expert (RISE) / Regional Information Security Representative (RISR) / Cyber Security Board (CSB)</v>
      </c>
      <c r="K50" s="867"/>
      <c r="L50" s="867"/>
      <c r="M50" s="867"/>
      <c r="N50" s="895"/>
    </row>
    <row r="51" spans="1:18" ht="12" customHeight="1">
      <c r="A51" s="232" t="str">
        <f>HLOOKUP(Language,Translation,231)&amp;":"</f>
        <v>Decision:</v>
      </c>
      <c r="B51" s="819" t="s">
        <v>118</v>
      </c>
      <c r="C51" s="820"/>
      <c r="D51" s="820"/>
      <c r="E51" s="820"/>
      <c r="F51" s="820"/>
      <c r="G51" s="821"/>
      <c r="H51" s="902" t="str">
        <f>HLOOKUP(Language,Translation,231)&amp;":"</f>
        <v>Decision:</v>
      </c>
      <c r="I51" s="903"/>
      <c r="J51" s="819" t="s">
        <v>118</v>
      </c>
      <c r="K51" s="820"/>
      <c r="L51" s="820"/>
      <c r="M51" s="820"/>
      <c r="N51" s="821"/>
    </row>
    <row r="52" spans="1:18" ht="48" customHeight="1">
      <c r="A52" s="232" t="str">
        <f>HLOOKUP(Language,Translation,42)&amp;":"</f>
        <v>Comments:</v>
      </c>
      <c r="B52" s="819"/>
      <c r="C52" s="820"/>
      <c r="D52" s="820"/>
      <c r="E52" s="820"/>
      <c r="F52" s="820"/>
      <c r="G52" s="820"/>
      <c r="H52" s="902" t="str">
        <f>HLOOKUP(Language,Translation,42)&amp;":"</f>
        <v>Comments:</v>
      </c>
      <c r="I52" s="903"/>
      <c r="J52" s="882"/>
      <c r="K52" s="883"/>
      <c r="L52" s="883"/>
      <c r="M52" s="883"/>
      <c r="N52" s="884"/>
    </row>
    <row r="53" spans="1:18" ht="12.75" customHeight="1">
      <c r="A53" s="153" t="str">
        <f>HLOOKUP(Language,Translation,22)&amp;":"</f>
        <v>Name:</v>
      </c>
      <c r="B53" s="819"/>
      <c r="C53" s="820"/>
      <c r="D53" s="820"/>
      <c r="E53" s="820"/>
      <c r="F53" s="820"/>
      <c r="G53" s="820"/>
      <c r="H53" s="818" t="str">
        <f>HLOOKUP(Language,Translation,22)&amp;":"</f>
        <v>Name:</v>
      </c>
      <c r="I53" s="810"/>
      <c r="J53" s="882"/>
      <c r="K53" s="883"/>
      <c r="L53" s="883"/>
      <c r="M53" s="883"/>
      <c r="N53" s="884"/>
    </row>
    <row r="54" spans="1:18" ht="30.75" customHeight="1" thickBot="1">
      <c r="A54" s="162" t="str">
        <f>HLOOKUP(Language,Translation,242)</f>
        <v>Signature / Date:</v>
      </c>
      <c r="B54" s="825"/>
      <c r="C54" s="826"/>
      <c r="D54" s="826"/>
      <c r="E54" s="826"/>
      <c r="F54" s="826"/>
      <c r="G54" s="826"/>
      <c r="H54" s="816" t="str">
        <f>HLOOKUP(Language,Translation,242)</f>
        <v>Signature / Date:</v>
      </c>
      <c r="I54" s="817"/>
      <c r="J54" s="822"/>
      <c r="K54" s="823"/>
      <c r="L54" s="823"/>
      <c r="M54" s="823"/>
      <c r="N54" s="824"/>
    </row>
    <row r="55" spans="1:18" ht="8.25" customHeight="1" thickBot="1">
      <c r="A55" s="149"/>
      <c r="B55" s="149"/>
      <c r="C55" s="150"/>
      <c r="D55" s="150"/>
      <c r="E55" s="150"/>
      <c r="F55" s="150"/>
      <c r="G55" s="149"/>
      <c r="H55" s="149"/>
      <c r="I55" s="149"/>
      <c r="J55" s="149"/>
    </row>
    <row r="56" spans="1:18" ht="15" customHeight="1" thickBot="1">
      <c r="A56" s="908" t="str">
        <f>"D:"&amp;" "&amp;HLOOKUP(Language,Translation,221)</f>
        <v>D: Supplier Assessment on site</v>
      </c>
      <c r="B56" s="909"/>
      <c r="C56" s="909"/>
      <c r="D56" s="909"/>
      <c r="E56" s="909"/>
      <c r="F56" s="909"/>
      <c r="G56" s="1004" t="str">
        <f>IF(VC='Language table'!$D$3,HLOOKUP(Language,Translation,276),IF(OR(VC='Language table'!$E$3,VC='Language table'!$F$3),HLOOKUP(Language,Translation,277),""))</f>
        <v>(For VC2 optional, decision by SQM)</v>
      </c>
      <c r="H56" s="1004"/>
      <c r="I56" s="1004"/>
      <c r="J56" s="1004"/>
      <c r="K56" s="1004"/>
      <c r="L56" s="1004"/>
      <c r="M56" s="1004"/>
      <c r="N56" s="1005"/>
    </row>
    <row r="57" spans="1:18" ht="17.25" customHeight="1">
      <c r="A57" s="870" t="s">
        <v>280</v>
      </c>
      <c r="B57" s="855"/>
      <c r="C57" s="855"/>
      <c r="D57" s="855" t="s">
        <v>281</v>
      </c>
      <c r="E57" s="855"/>
      <c r="F57" s="855"/>
      <c r="G57" s="855" t="str">
        <f>HLOOKUP(Language,Translation,191)</f>
        <v>Rating</v>
      </c>
      <c r="H57" s="855"/>
      <c r="I57" s="814" t="str">
        <f>HLOOKUP(Language,Translation,42)</f>
        <v>Comments</v>
      </c>
      <c r="J57" s="858"/>
      <c r="K57" s="858"/>
      <c r="L57" s="858"/>
      <c r="M57" s="858"/>
      <c r="N57" s="859"/>
    </row>
    <row r="58" spans="1:18" ht="13.5" thickBot="1">
      <c r="A58" s="868" t="str">
        <f>HLOOKUP(Language,Translation,202)</f>
        <v xml:space="preserve">VDA 6.3 Potential Analysis P1 </v>
      </c>
      <c r="B58" s="869"/>
      <c r="C58" s="869"/>
      <c r="D58" s="879" t="s">
        <v>118</v>
      </c>
      <c r="E58" s="880"/>
      <c r="F58" s="881"/>
      <c r="G58" s="879" t="s">
        <v>118</v>
      </c>
      <c r="H58" s="881"/>
      <c r="I58" s="984"/>
      <c r="J58" s="985"/>
      <c r="K58" s="985"/>
      <c r="L58" s="985"/>
      <c r="M58" s="985"/>
      <c r="N58" s="986"/>
    </row>
    <row r="59" spans="1:18" ht="8.25" customHeight="1" thickBot="1">
      <c r="A59" s="151"/>
      <c r="B59" s="151"/>
      <c r="C59" s="151"/>
      <c r="D59" s="151"/>
      <c r="E59" s="151"/>
      <c r="F59" s="151"/>
      <c r="G59" s="151"/>
      <c r="H59" s="151"/>
      <c r="I59" s="151"/>
      <c r="J59" s="151"/>
      <c r="K59" s="151"/>
      <c r="L59" s="151"/>
      <c r="M59" s="151"/>
      <c r="N59" s="151"/>
    </row>
    <row r="60" spans="1:18" ht="15.75" customHeight="1" thickBot="1">
      <c r="A60" s="794" t="str">
        <f>"E:"&amp;" "&amp;HLOOKUP(Language,Translation,231)</f>
        <v>E: Decision</v>
      </c>
      <c r="B60" s="795"/>
      <c r="C60" s="795"/>
      <c r="D60" s="795"/>
      <c r="E60" s="795"/>
      <c r="F60" s="795"/>
      <c r="G60" s="795"/>
      <c r="H60" s="795"/>
      <c r="I60" s="795"/>
      <c r="J60" s="795"/>
      <c r="K60" s="795"/>
      <c r="L60" s="795"/>
      <c r="M60" s="795"/>
      <c r="N60" s="796"/>
    </row>
    <row r="61" spans="1:18">
      <c r="A61" s="845" t="str">
        <f>HLOOKUP(Language,Translation,198)</f>
        <v>BENTELER Supplier (Vendor) No.:</v>
      </c>
      <c r="B61" s="846"/>
      <c r="C61" s="849"/>
      <c r="D61" s="850"/>
      <c r="E61" s="851"/>
      <c r="F61" s="871" t="str">
        <f>HLOOKUP(Language,Translation,237)</f>
        <v>Assigned SQE</v>
      </c>
      <c r="G61" s="872"/>
      <c r="H61" s="873"/>
      <c r="I61" s="841" t="str">
        <f>HLOOKUP(Language,Translation,22)&amp;":"</f>
        <v>Name:</v>
      </c>
      <c r="J61" s="842"/>
      <c r="K61" s="885"/>
      <c r="L61" s="886"/>
      <c r="M61" s="886"/>
      <c r="N61" s="887"/>
    </row>
    <row r="62" spans="1:18">
      <c r="A62" s="847"/>
      <c r="B62" s="848"/>
      <c r="C62" s="852"/>
      <c r="D62" s="853"/>
      <c r="E62" s="854"/>
      <c r="F62" s="874"/>
      <c r="G62" s="875"/>
      <c r="H62" s="876"/>
      <c r="I62" s="843" t="str">
        <f>HLOOKUP(Language,Translation,14)</f>
        <v>Telephone-No.:</v>
      </c>
      <c r="J62" s="844"/>
      <c r="K62" s="888"/>
      <c r="L62" s="889"/>
      <c r="M62" s="890"/>
      <c r="N62" s="891"/>
    </row>
    <row r="63" spans="1:18" ht="19.5" customHeight="1">
      <c r="A63" s="877" t="str">
        <f>HLOOKUP(Language,Translation,235)</f>
        <v>Approval status:</v>
      </c>
      <c r="B63" s="878"/>
      <c r="C63" s="1017" t="s">
        <v>118</v>
      </c>
      <c r="D63" s="1017"/>
      <c r="E63" s="1017"/>
      <c r="F63" s="1017"/>
      <c r="G63" s="1017"/>
      <c r="H63" s="1017"/>
      <c r="I63" s="1017"/>
      <c r="J63" s="1018"/>
      <c r="K63" s="836" t="str">
        <f>HLOOKUP(Language,Translation,66)&amp;":"</f>
        <v>Expiration date:</v>
      </c>
      <c r="L63" s="838"/>
      <c r="M63" s="1015"/>
      <c r="N63" s="1016"/>
      <c r="R63" s="160"/>
    </row>
    <row r="64" spans="1:18" ht="19.5" customHeight="1">
      <c r="A64" s="898" t="str">
        <f>HLOOKUP(Language,Translation,236)</f>
        <v>Conditions:</v>
      </c>
      <c r="B64" s="899"/>
      <c r="C64" s="836" t="str">
        <f>HLOOKUP(Language,Translation,299)</f>
        <v>Justification for conditional release:</v>
      </c>
      <c r="D64" s="837"/>
      <c r="E64" s="837"/>
      <c r="F64" s="837"/>
      <c r="G64" s="837"/>
      <c r="H64" s="838"/>
      <c r="I64" s="839" t="s">
        <v>118</v>
      </c>
      <c r="J64" s="839"/>
      <c r="K64" s="839"/>
      <c r="L64" s="839"/>
      <c r="M64" s="839"/>
      <c r="N64" s="840"/>
    </row>
    <row r="65" spans="1:17" ht="54" customHeight="1" thickBot="1">
      <c r="A65" s="892"/>
      <c r="B65" s="893"/>
      <c r="C65" s="893"/>
      <c r="D65" s="893"/>
      <c r="E65" s="893"/>
      <c r="F65" s="893"/>
      <c r="G65" s="893"/>
      <c r="H65" s="893"/>
      <c r="I65" s="893"/>
      <c r="J65" s="893"/>
      <c r="K65" s="893"/>
      <c r="L65" s="893"/>
      <c r="M65" s="893"/>
      <c r="N65" s="894"/>
    </row>
    <row r="66" spans="1:17" ht="26.25" customHeight="1">
      <c r="A66" s="1006" t="str">
        <f>HLOOKUP(Language,Translation,293)</f>
        <v>Decision for BAT by:</v>
      </c>
      <c r="B66" s="1007"/>
      <c r="C66" s="900" t="str">
        <f>IF(OR(K25=HLOOKUP(Language,Translation,244),'Language table'!K6=0,E35=HLOOKUP(Language,Translation,275),E35="",M43='Language table'!$C$4,M44='Language table'!$D$4,M45='Language table'!$D$4),HLOOKUP(Language,Translation,273),"")</f>
        <v>"No supplier approval except by written decision from procurement management!"</v>
      </c>
      <c r="D66" s="900"/>
      <c r="E66" s="900"/>
      <c r="F66" s="900"/>
      <c r="G66" s="900"/>
      <c r="H66" s="900"/>
      <c r="I66" s="900"/>
      <c r="J66" s="900"/>
      <c r="K66" s="900"/>
      <c r="L66" s="900"/>
      <c r="M66" s="900"/>
      <c r="N66" s="901"/>
    </row>
    <row r="67" spans="1:17" ht="22.5" customHeight="1">
      <c r="A67" s="152" t="str">
        <f>HLOOKUP(Language,Translation,240)&amp;" 1:"</f>
        <v>Function 1:</v>
      </c>
      <c r="B67" s="866" t="str">
        <f>HLOOKUP(Language,Translation,241)</f>
        <v>Regional Procurement Director
(supplier production location)</v>
      </c>
      <c r="C67" s="867"/>
      <c r="D67" s="867"/>
      <c r="E67" s="867"/>
      <c r="F67" s="867"/>
      <c r="G67" s="867"/>
      <c r="H67" s="896" t="str">
        <f>HLOOKUP(Language,Translation,240)&amp;" 2:"</f>
        <v>Function 2:</v>
      </c>
      <c r="I67" s="897"/>
      <c r="J67" s="866" t="s">
        <v>284</v>
      </c>
      <c r="K67" s="867"/>
      <c r="L67" s="867"/>
      <c r="M67" s="867"/>
      <c r="N67" s="895"/>
    </row>
    <row r="68" spans="1:17">
      <c r="A68" s="153" t="str">
        <f>HLOOKUP(Language,Translation,22)&amp;":"</f>
        <v>Name:</v>
      </c>
      <c r="B68" s="819"/>
      <c r="C68" s="820"/>
      <c r="D68" s="820"/>
      <c r="E68" s="820"/>
      <c r="F68" s="820"/>
      <c r="G68" s="820"/>
      <c r="H68" s="818" t="str">
        <f>HLOOKUP(Language,Translation,22)&amp;":"</f>
        <v>Name:</v>
      </c>
      <c r="I68" s="810"/>
      <c r="J68" s="882"/>
      <c r="K68" s="883"/>
      <c r="L68" s="883"/>
      <c r="M68" s="883"/>
      <c r="N68" s="884"/>
    </row>
    <row r="69" spans="1:17" ht="30.75" customHeight="1" thickBot="1">
      <c r="A69" s="162" t="str">
        <f>HLOOKUP(Language,Translation,242)</f>
        <v>Signature / Date:</v>
      </c>
      <c r="B69" s="825"/>
      <c r="C69" s="826"/>
      <c r="D69" s="826"/>
      <c r="E69" s="826"/>
      <c r="F69" s="826"/>
      <c r="G69" s="826"/>
      <c r="H69" s="816" t="str">
        <f>HLOOKUP(Language,Translation,242)</f>
        <v>Signature / Date:</v>
      </c>
      <c r="I69" s="817"/>
      <c r="J69" s="822"/>
      <c r="K69" s="823"/>
      <c r="L69" s="823"/>
      <c r="M69" s="823"/>
      <c r="N69" s="824"/>
      <c r="P69" s="157"/>
    </row>
    <row r="70" spans="1:17" ht="15" customHeight="1">
      <c r="A70" s="218" t="str">
        <f>HLOOKUP(Language,Translation,240)&amp;" 3:"</f>
        <v>Function 3:</v>
      </c>
      <c r="B70" s="814" t="s">
        <v>282</v>
      </c>
      <c r="C70" s="858"/>
      <c r="D70" s="858"/>
      <c r="E70" s="858"/>
      <c r="F70" s="858"/>
      <c r="G70" s="858"/>
      <c r="H70" s="797" t="str">
        <f>HLOOKUP(Language,Translation,240)&amp;" 4:"</f>
        <v>Function 4:</v>
      </c>
      <c r="I70" s="799"/>
      <c r="J70" s="814" t="s">
        <v>283</v>
      </c>
      <c r="K70" s="858"/>
      <c r="L70" s="858"/>
      <c r="M70" s="858"/>
      <c r="N70" s="859"/>
    </row>
    <row r="71" spans="1:17">
      <c r="A71" s="153" t="str">
        <f>HLOOKUP(Language,Translation,22)&amp;":"</f>
        <v>Name:</v>
      </c>
      <c r="B71" s="819"/>
      <c r="C71" s="820"/>
      <c r="D71" s="820"/>
      <c r="E71" s="820"/>
      <c r="F71" s="820"/>
      <c r="G71" s="820"/>
      <c r="H71" s="818" t="str">
        <f>HLOOKUP(Language,Translation,22)&amp;":"</f>
        <v>Name:</v>
      </c>
      <c r="I71" s="810"/>
      <c r="J71" s="819"/>
      <c r="K71" s="820"/>
      <c r="L71" s="820"/>
      <c r="M71" s="820"/>
      <c r="N71" s="821"/>
    </row>
    <row r="72" spans="1:17" ht="30.75" customHeight="1" thickBot="1">
      <c r="A72" s="162" t="str">
        <f>HLOOKUP(Language,Translation,242)</f>
        <v>Signature / Date:</v>
      </c>
      <c r="B72" s="1008"/>
      <c r="C72" s="1009"/>
      <c r="D72" s="1009"/>
      <c r="E72" s="1009"/>
      <c r="F72" s="1009"/>
      <c r="G72" s="1010"/>
      <c r="H72" s="816" t="str">
        <f>HLOOKUP(Language,Translation,242)</f>
        <v>Signature / Date:</v>
      </c>
      <c r="I72" s="817"/>
      <c r="J72" s="822"/>
      <c r="K72" s="823"/>
      <c r="L72" s="823"/>
      <c r="M72" s="823"/>
      <c r="N72" s="824"/>
    </row>
    <row r="73" spans="1:17" ht="15" customHeight="1">
      <c r="A73" s="231" t="str">
        <f>HLOOKUP(Language,Translation,240)&amp;" 5:"</f>
        <v>Function 5:</v>
      </c>
      <c r="B73" s="814" t="s">
        <v>1591</v>
      </c>
      <c r="C73" s="858"/>
      <c r="D73" s="858"/>
      <c r="E73" s="858"/>
      <c r="F73" s="858"/>
      <c r="G73" s="859"/>
      <c r="H73" s="860" t="str">
        <f>HLOOKUP(Language,Translation,240)&amp;" 6:"</f>
        <v>Function 6:</v>
      </c>
      <c r="I73" s="861"/>
      <c r="J73" s="1026" t="s">
        <v>1558</v>
      </c>
      <c r="K73" s="1027"/>
      <c r="L73" s="1027"/>
      <c r="M73" s="1027"/>
      <c r="N73" s="1028"/>
    </row>
    <row r="74" spans="1:17">
      <c r="A74" s="217" t="str">
        <f>HLOOKUP(Language,Translation,22)&amp;":"</f>
        <v>Name:</v>
      </c>
      <c r="B74" s="819"/>
      <c r="C74" s="820"/>
      <c r="D74" s="820"/>
      <c r="E74" s="820"/>
      <c r="F74" s="820"/>
      <c r="G74" s="821"/>
      <c r="H74" s="1022" t="str">
        <f>HLOOKUP(Language,Translation,22)&amp;":"</f>
        <v>Name:</v>
      </c>
      <c r="I74" s="1023"/>
      <c r="J74" s="771"/>
      <c r="K74" s="1029"/>
      <c r="L74" s="1029"/>
      <c r="M74" s="1029"/>
      <c r="N74" s="772"/>
      <c r="O74" s="154"/>
      <c r="P74" s="154"/>
      <c r="Q74" s="154"/>
    </row>
    <row r="75" spans="1:17" ht="30.75" customHeight="1" thickBot="1">
      <c r="A75" s="230" t="str">
        <f>HLOOKUP(Language,Translation,242)</f>
        <v>Signature / Date:</v>
      </c>
      <c r="B75" s="1019"/>
      <c r="C75" s="1020"/>
      <c r="D75" s="1020"/>
      <c r="E75" s="1020"/>
      <c r="F75" s="1020"/>
      <c r="G75" s="1021"/>
      <c r="H75" s="1024" t="str">
        <f>HLOOKUP(Language,Translation,242)</f>
        <v>Signature / Date:</v>
      </c>
      <c r="I75" s="1025"/>
      <c r="J75" s="1030"/>
      <c r="K75" s="1031"/>
      <c r="L75" s="1031"/>
      <c r="M75" s="1031"/>
      <c r="N75" s="1032"/>
    </row>
    <row r="76" spans="1:17" ht="21" customHeight="1" thickBot="1">
      <c r="A76" s="155"/>
    </row>
    <row r="77" spans="1:17" ht="26.25" customHeight="1">
      <c r="A77" s="1011" t="str">
        <f>HLOOKUP(Language,Translation,294)</f>
        <v>Decision for BST by:</v>
      </c>
      <c r="B77" s="1012"/>
      <c r="C77" s="1013" t="str">
        <f>IF(OR(K25=HLOOKUP(Language,Translation,244),'Language table'!K6=0,E35=HLOOKUP(Language,Translation,275),E35="",M43='Language table'!$C$4,M44='Language table'!$D$4),HLOOKUP(Language,Translation,273),"")</f>
        <v>"No supplier approval except by written decision from procurement management!"</v>
      </c>
      <c r="D77" s="1013"/>
      <c r="E77" s="1013"/>
      <c r="F77" s="1013"/>
      <c r="G77" s="1013"/>
      <c r="H77" s="1013"/>
      <c r="I77" s="1013"/>
      <c r="J77" s="1013"/>
      <c r="K77" s="1013"/>
      <c r="L77" s="1013"/>
      <c r="M77" s="1013"/>
      <c r="N77" s="1014"/>
    </row>
    <row r="78" spans="1:17" ht="22.5" customHeight="1">
      <c r="A78" s="152" t="str">
        <f>HLOOKUP(Language,Translation,240)&amp;" 1:"</f>
        <v>Function 1:</v>
      </c>
      <c r="B78" s="866" t="s">
        <v>1769</v>
      </c>
      <c r="C78" s="867"/>
      <c r="D78" s="867"/>
      <c r="E78" s="867"/>
      <c r="F78" s="867"/>
      <c r="G78" s="867"/>
      <c r="H78" s="896" t="str">
        <f>HLOOKUP(Language,Translation,240)&amp;" 2:"</f>
        <v>Function 2:</v>
      </c>
      <c r="I78" s="897"/>
      <c r="J78" s="866" t="s">
        <v>1770</v>
      </c>
      <c r="K78" s="867"/>
      <c r="L78" s="867"/>
      <c r="M78" s="867"/>
      <c r="N78" s="895"/>
    </row>
    <row r="79" spans="1:17">
      <c r="A79" s="153" t="str">
        <f>HLOOKUP(Language,Translation,22)&amp;":"</f>
        <v>Name:</v>
      </c>
      <c r="B79" s="819"/>
      <c r="C79" s="820"/>
      <c r="D79" s="820"/>
      <c r="E79" s="820"/>
      <c r="F79" s="820"/>
      <c r="G79" s="820"/>
      <c r="H79" s="818" t="str">
        <f>HLOOKUP(Language,Translation,22)&amp;":"</f>
        <v>Name:</v>
      </c>
      <c r="I79" s="810"/>
      <c r="J79" s="882"/>
      <c r="K79" s="883"/>
      <c r="L79" s="883"/>
      <c r="M79" s="883"/>
      <c r="N79" s="884"/>
    </row>
    <row r="80" spans="1:17" ht="30.75" customHeight="1" thickBot="1">
      <c r="A80" s="162" t="str">
        <f>HLOOKUP(Language,Translation,242)</f>
        <v>Signature / Date:</v>
      </c>
      <c r="B80" s="825"/>
      <c r="C80" s="826"/>
      <c r="D80" s="826"/>
      <c r="E80" s="826"/>
      <c r="F80" s="826"/>
      <c r="G80" s="826"/>
      <c r="H80" s="816" t="str">
        <f>HLOOKUP(Language,Translation,242)</f>
        <v>Signature / Date:</v>
      </c>
      <c r="I80" s="817"/>
      <c r="J80" s="822"/>
      <c r="K80" s="823"/>
      <c r="L80" s="823"/>
      <c r="M80" s="823"/>
      <c r="N80" s="824"/>
    </row>
    <row r="81" spans="1:14" ht="22.5" customHeight="1">
      <c r="A81" s="218" t="str">
        <f>HLOOKUP(Language,Translation,240)&amp;" 3:"</f>
        <v>Function 3:</v>
      </c>
      <c r="B81" s="814" t="s">
        <v>1772</v>
      </c>
      <c r="C81" s="858"/>
      <c r="D81" s="858"/>
      <c r="E81" s="858"/>
      <c r="F81" s="858"/>
      <c r="G81" s="858"/>
      <c r="H81" s="797" t="str">
        <f>HLOOKUP(Language,Translation,240)&amp;" 4:"</f>
        <v>Function 4:</v>
      </c>
      <c r="I81" s="799"/>
      <c r="J81" s="814" t="s">
        <v>1771</v>
      </c>
      <c r="K81" s="858"/>
      <c r="L81" s="858"/>
      <c r="M81" s="858"/>
      <c r="N81" s="859"/>
    </row>
    <row r="82" spans="1:14">
      <c r="A82" s="153" t="str">
        <f>HLOOKUP(Language,Translation,22)&amp;":"</f>
        <v>Name:</v>
      </c>
      <c r="B82" s="819"/>
      <c r="C82" s="820"/>
      <c r="D82" s="820"/>
      <c r="E82" s="820"/>
      <c r="F82" s="820"/>
      <c r="G82" s="820"/>
      <c r="H82" s="818" t="str">
        <f>HLOOKUP(Language,Translation,22)&amp;":"</f>
        <v>Name:</v>
      </c>
      <c r="I82" s="810"/>
      <c r="J82" s="819"/>
      <c r="K82" s="820"/>
      <c r="L82" s="820"/>
      <c r="M82" s="820"/>
      <c r="N82" s="821"/>
    </row>
    <row r="83" spans="1:14" ht="30.75" customHeight="1" thickBot="1">
      <c r="A83" s="162" t="str">
        <f>HLOOKUP(Language,Translation,242)</f>
        <v>Signature / Date:</v>
      </c>
      <c r="B83" s="1008"/>
      <c r="C83" s="1009"/>
      <c r="D83" s="1009"/>
      <c r="E83" s="1009"/>
      <c r="F83" s="1009"/>
      <c r="G83" s="1010"/>
      <c r="H83" s="816" t="str">
        <f>HLOOKUP(Language,Translation,242)</f>
        <v>Signature / Date:</v>
      </c>
      <c r="I83" s="817"/>
      <c r="J83" s="822"/>
      <c r="K83" s="823"/>
      <c r="L83" s="823"/>
      <c r="M83" s="823"/>
      <c r="N83" s="824"/>
    </row>
  </sheetData>
  <sheetProtection algorithmName="SHA-512" hashValue="5V38GOCky4MFaHKDizerNfu11B2EnzzosmzIxg8XjLkVlPwB6V5PAGBBbHwPDD3GN1A42ZlQu7xFqgT+qePy3A==" saltValue="xMCg8ibNwTMp06kG8AwG1g==" spinCount="100000" sheet="1" selectLockedCells="1"/>
  <mergeCells count="236">
    <mergeCell ref="K63:L63"/>
    <mergeCell ref="M63:N63"/>
    <mergeCell ref="C63:J63"/>
    <mergeCell ref="B81:G81"/>
    <mergeCell ref="H81:I81"/>
    <mergeCell ref="J81:N81"/>
    <mergeCell ref="B82:G82"/>
    <mergeCell ref="H82:I82"/>
    <mergeCell ref="J82:N82"/>
    <mergeCell ref="B67:G67"/>
    <mergeCell ref="B68:G68"/>
    <mergeCell ref="B70:G70"/>
    <mergeCell ref="B71:G71"/>
    <mergeCell ref="B74:G74"/>
    <mergeCell ref="B75:G75"/>
    <mergeCell ref="H74:I74"/>
    <mergeCell ref="H75:I75"/>
    <mergeCell ref="J73:N73"/>
    <mergeCell ref="J74:N74"/>
    <mergeCell ref="J75:N75"/>
    <mergeCell ref="B72:G72"/>
    <mergeCell ref="J72:N72"/>
    <mergeCell ref="J70:N70"/>
    <mergeCell ref="H68:I68"/>
    <mergeCell ref="B83:G83"/>
    <mergeCell ref="H83:I83"/>
    <mergeCell ref="J83:N83"/>
    <mergeCell ref="A77:B77"/>
    <mergeCell ref="C77:N77"/>
    <mergeCell ref="B78:G78"/>
    <mergeCell ref="H78:I78"/>
    <mergeCell ref="J78:N78"/>
    <mergeCell ref="B79:G79"/>
    <mergeCell ref="H79:I79"/>
    <mergeCell ref="J79:N79"/>
    <mergeCell ref="B80:G80"/>
    <mergeCell ref="H80:I80"/>
    <mergeCell ref="J80:N80"/>
    <mergeCell ref="G58:H58"/>
    <mergeCell ref="G38:H38"/>
    <mergeCell ref="I57:N57"/>
    <mergeCell ref="I58:N58"/>
    <mergeCell ref="A37:C38"/>
    <mergeCell ref="J68:N68"/>
    <mergeCell ref="K37:K38"/>
    <mergeCell ref="L37:N38"/>
    <mergeCell ref="G42:H42"/>
    <mergeCell ref="G37:H37"/>
    <mergeCell ref="A41:C42"/>
    <mergeCell ref="G41:H41"/>
    <mergeCell ref="G47:H47"/>
    <mergeCell ref="B47:F47"/>
    <mergeCell ref="I47:N47"/>
    <mergeCell ref="E37:F38"/>
    <mergeCell ref="A48:N48"/>
    <mergeCell ref="I40:J40"/>
    <mergeCell ref="I37:J37"/>
    <mergeCell ref="A56:F56"/>
    <mergeCell ref="G56:N56"/>
    <mergeCell ref="H54:I54"/>
    <mergeCell ref="J54:N54"/>
    <mergeCell ref="A66:B66"/>
    <mergeCell ref="B52:G52"/>
    <mergeCell ref="J52:N52"/>
    <mergeCell ref="H51:I51"/>
    <mergeCell ref="B51:G51"/>
    <mergeCell ref="J51:N51"/>
    <mergeCell ref="M44:N44"/>
    <mergeCell ref="M43:N43"/>
    <mergeCell ref="H50:I50"/>
    <mergeCell ref="G40:H40"/>
    <mergeCell ref="K40:N40"/>
    <mergeCell ref="A40:C40"/>
    <mergeCell ref="I41:N41"/>
    <mergeCell ref="I42:N42"/>
    <mergeCell ref="A46:C46"/>
    <mergeCell ref="E46:F46"/>
    <mergeCell ref="H46:I46"/>
    <mergeCell ref="K46:L46"/>
    <mergeCell ref="M46:N46"/>
    <mergeCell ref="E44:L44"/>
    <mergeCell ref="E43:L43"/>
    <mergeCell ref="E40:F40"/>
    <mergeCell ref="A43:C45"/>
    <mergeCell ref="D43:D45"/>
    <mergeCell ref="E45:L45"/>
    <mergeCell ref="L4:M4"/>
    <mergeCell ref="B4:F4"/>
    <mergeCell ref="G4:I4"/>
    <mergeCell ref="B1:K1"/>
    <mergeCell ref="L1:N1"/>
    <mergeCell ref="A8:N8"/>
    <mergeCell ref="B10:G10"/>
    <mergeCell ref="B9:G9"/>
    <mergeCell ref="H12:J12"/>
    <mergeCell ref="H11:J11"/>
    <mergeCell ref="H10:J10"/>
    <mergeCell ref="H9:J9"/>
    <mergeCell ref="K10:N10"/>
    <mergeCell ref="K9:N9"/>
    <mergeCell ref="B11:G11"/>
    <mergeCell ref="B12:G12"/>
    <mergeCell ref="K12:N12"/>
    <mergeCell ref="K11:N11"/>
    <mergeCell ref="A6:N6"/>
    <mergeCell ref="A3:N3"/>
    <mergeCell ref="A5:G5"/>
    <mergeCell ref="H5:I5"/>
    <mergeCell ref="B31:C31"/>
    <mergeCell ref="A39:C39"/>
    <mergeCell ref="D37:D38"/>
    <mergeCell ref="I38:J38"/>
    <mergeCell ref="K28:N28"/>
    <mergeCell ref="K29:N29"/>
    <mergeCell ref="G34:H34"/>
    <mergeCell ref="D35:D36"/>
    <mergeCell ref="A34:C34"/>
    <mergeCell ref="E39:F39"/>
    <mergeCell ref="G39:H39"/>
    <mergeCell ref="A35:C36"/>
    <mergeCell ref="M36:N36"/>
    <mergeCell ref="L39:N39"/>
    <mergeCell ref="I39:K39"/>
    <mergeCell ref="B32:C33"/>
    <mergeCell ref="G32:I32"/>
    <mergeCell ref="K31:N33"/>
    <mergeCell ref="B28:C28"/>
    <mergeCell ref="A27:A33"/>
    <mergeCell ref="E27:F27"/>
    <mergeCell ref="E28:F28"/>
    <mergeCell ref="E29:F29"/>
    <mergeCell ref="K30:N30"/>
    <mergeCell ref="D31:D33"/>
    <mergeCell ref="E31:F33"/>
    <mergeCell ref="G33:J33"/>
    <mergeCell ref="I31:J31"/>
    <mergeCell ref="I30:J30"/>
    <mergeCell ref="G26:H26"/>
    <mergeCell ref="G27:H27"/>
    <mergeCell ref="G28:H28"/>
    <mergeCell ref="G29:H29"/>
    <mergeCell ref="A14:C14"/>
    <mergeCell ref="D14:G14"/>
    <mergeCell ref="B13:G13"/>
    <mergeCell ref="A17:G17"/>
    <mergeCell ref="H17:N17"/>
    <mergeCell ref="A15:C15"/>
    <mergeCell ref="D15:G15"/>
    <mergeCell ref="H15:K15"/>
    <mergeCell ref="L15:N15"/>
    <mergeCell ref="H13:J13"/>
    <mergeCell ref="H14:J14"/>
    <mergeCell ref="K14:N14"/>
    <mergeCell ref="K13:N13"/>
    <mergeCell ref="E25:F25"/>
    <mergeCell ref="K24:N24"/>
    <mergeCell ref="K25:N25"/>
    <mergeCell ref="G24:J24"/>
    <mergeCell ref="G25:H25"/>
    <mergeCell ref="I25:J25"/>
    <mergeCell ref="E26:F26"/>
    <mergeCell ref="K27:N27"/>
    <mergeCell ref="K34:N34"/>
    <mergeCell ref="E34:F34"/>
    <mergeCell ref="B73:G73"/>
    <mergeCell ref="H73:I73"/>
    <mergeCell ref="A49:B49"/>
    <mergeCell ref="C49:N49"/>
    <mergeCell ref="B50:G50"/>
    <mergeCell ref="A60:N60"/>
    <mergeCell ref="A58:C58"/>
    <mergeCell ref="A57:C57"/>
    <mergeCell ref="F61:H62"/>
    <mergeCell ref="A63:B63"/>
    <mergeCell ref="D58:F58"/>
    <mergeCell ref="G57:H57"/>
    <mergeCell ref="B53:G53"/>
    <mergeCell ref="H53:I53"/>
    <mergeCell ref="J53:N53"/>
    <mergeCell ref="K61:N61"/>
    <mergeCell ref="K62:N62"/>
    <mergeCell ref="A65:N65"/>
    <mergeCell ref="J67:N67"/>
    <mergeCell ref="H67:I67"/>
    <mergeCell ref="A64:B64"/>
    <mergeCell ref="C66:N66"/>
    <mergeCell ref="J50:N50"/>
    <mergeCell ref="H52:I52"/>
    <mergeCell ref="H69:I69"/>
    <mergeCell ref="H70:I70"/>
    <mergeCell ref="H71:I71"/>
    <mergeCell ref="H72:I72"/>
    <mergeCell ref="J71:N71"/>
    <mergeCell ref="J69:N69"/>
    <mergeCell ref="B54:G54"/>
    <mergeCell ref="E21:H21"/>
    <mergeCell ref="E19:H19"/>
    <mergeCell ref="E20:H20"/>
    <mergeCell ref="I19:N19"/>
    <mergeCell ref="I20:N20"/>
    <mergeCell ref="I21:N21"/>
    <mergeCell ref="G31:H31"/>
    <mergeCell ref="I34:J34"/>
    <mergeCell ref="C64:H64"/>
    <mergeCell ref="I64:N64"/>
    <mergeCell ref="I61:J61"/>
    <mergeCell ref="I62:J62"/>
    <mergeCell ref="B69:G69"/>
    <mergeCell ref="A61:B62"/>
    <mergeCell ref="C61:E62"/>
    <mergeCell ref="D57:F57"/>
    <mergeCell ref="D41:D42"/>
    <mergeCell ref="M45:N45"/>
    <mergeCell ref="E18:H18"/>
    <mergeCell ref="M18:N18"/>
    <mergeCell ref="I18:L18"/>
    <mergeCell ref="B30:C30"/>
    <mergeCell ref="G30:H30"/>
    <mergeCell ref="I28:J28"/>
    <mergeCell ref="I29:J29"/>
    <mergeCell ref="E30:F30"/>
    <mergeCell ref="K26:N26"/>
    <mergeCell ref="B29:C29"/>
    <mergeCell ref="B27:C27"/>
    <mergeCell ref="A26:C26"/>
    <mergeCell ref="I26:J26"/>
    <mergeCell ref="I27:J27"/>
    <mergeCell ref="A25:C25"/>
    <mergeCell ref="A18:D18"/>
    <mergeCell ref="A23:N23"/>
    <mergeCell ref="A24:C24"/>
    <mergeCell ref="A19:D21"/>
    <mergeCell ref="E41:F42"/>
    <mergeCell ref="E36:L36"/>
    <mergeCell ref="E35:N35"/>
    <mergeCell ref="E24:F24"/>
  </mergeCells>
  <conditionalFormatting sqref="A19">
    <cfRule type="cellIs" dxfId="192" priority="139" operator="equal">
      <formula>"Please select!"</formula>
    </cfRule>
  </conditionalFormatting>
  <conditionalFormatting sqref="B4 J68 J71 C61 J4:L4">
    <cfRule type="containsBlanks" dxfId="191" priority="131">
      <formula>LEN(TRIM(B4))=0</formula>
    </cfRule>
  </conditionalFormatting>
  <conditionalFormatting sqref="G34:H34">
    <cfRule type="expression" dxfId="190" priority="116">
      <formula>A34=HLOOKUP(Language,Translation,228)</formula>
    </cfRule>
  </conditionalFormatting>
  <conditionalFormatting sqref="K26:K34 K40:N40 I58">
    <cfRule type="containsBlanks" dxfId="189" priority="300">
      <formula>LEN(TRIM(I26))=0</formula>
    </cfRule>
  </conditionalFormatting>
  <conditionalFormatting sqref="G39 L37 L39">
    <cfRule type="containsBlanks" dxfId="188" priority="118">
      <formula>LEN(TRIM(G37))=0</formula>
    </cfRule>
  </conditionalFormatting>
  <conditionalFormatting sqref="E40:N40">
    <cfRule type="expression" dxfId="187" priority="90">
      <formula>$D$40="-"</formula>
    </cfRule>
  </conditionalFormatting>
  <conditionalFormatting sqref="A6">
    <cfRule type="cellIs" dxfId="186" priority="114" operator="equal">
      <formula>HLOOKUP(Language,Translation,230)</formula>
    </cfRule>
  </conditionalFormatting>
  <conditionalFormatting sqref="K25">
    <cfRule type="cellIs" dxfId="185" priority="112" stopIfTrue="1" operator="equal">
      <formula>HLOOKUP(Language,Translation,244)</formula>
    </cfRule>
    <cfRule type="cellIs" dxfId="184" priority="113" stopIfTrue="1" operator="equal">
      <formula>"WVERWEIS(Language;Translation;243)"</formula>
    </cfRule>
  </conditionalFormatting>
  <conditionalFormatting sqref="K61:N61">
    <cfRule type="containsBlanks" dxfId="183" priority="110">
      <formula>LEN(TRIM(K61))=0</formula>
    </cfRule>
  </conditionalFormatting>
  <conditionalFormatting sqref="K62:N62">
    <cfRule type="containsBlanks" dxfId="182" priority="109">
      <formula>LEN(TRIM(K62))=0</formula>
    </cfRule>
  </conditionalFormatting>
  <conditionalFormatting sqref="B68">
    <cfRule type="containsBlanks" dxfId="181" priority="101">
      <formula>LEN(TRIM(B68))=0</formula>
    </cfRule>
  </conditionalFormatting>
  <conditionalFormatting sqref="B71">
    <cfRule type="containsBlanks" dxfId="180" priority="100">
      <formula>LEN(TRIM(B71))=0</formula>
    </cfRule>
  </conditionalFormatting>
  <conditionalFormatting sqref="K30:N30 E30:I30">
    <cfRule type="expression" dxfId="179" priority="84">
      <formula>$D$30="-"</formula>
    </cfRule>
  </conditionalFormatting>
  <conditionalFormatting sqref="E41:I42">
    <cfRule type="expression" dxfId="178" priority="98">
      <formula>$D$41="-"</formula>
    </cfRule>
  </conditionalFormatting>
  <conditionalFormatting sqref="K26:N26 E26:I26">
    <cfRule type="expression" dxfId="177" priority="97">
      <formula>$D$26="-"</formula>
    </cfRule>
  </conditionalFormatting>
  <conditionalFormatting sqref="K28:N28 E28:I28">
    <cfRule type="expression" dxfId="176" priority="81">
      <formula>$D$28="-"</formula>
    </cfRule>
  </conditionalFormatting>
  <conditionalFormatting sqref="K38 E37:I38 K37:L37">
    <cfRule type="expression" dxfId="175" priority="93">
      <formula>$D$37="-"</formula>
    </cfRule>
  </conditionalFormatting>
  <conditionalFormatting sqref="I34">
    <cfRule type="containsBlanks" dxfId="174" priority="92">
      <formula>LEN(TRIM(I34))=0</formula>
    </cfRule>
  </conditionalFormatting>
  <conditionalFormatting sqref="I34">
    <cfRule type="expression" dxfId="173" priority="91">
      <formula>$D$40="-"</formula>
    </cfRule>
  </conditionalFormatting>
  <conditionalFormatting sqref="I40">
    <cfRule type="containsBlanks" dxfId="172" priority="115">
      <formula>LEN(TRIM(I40))=0</formula>
    </cfRule>
  </conditionalFormatting>
  <conditionalFormatting sqref="I27:J29 I31:J31">
    <cfRule type="cellIs" dxfId="171" priority="96" operator="notBetween">
      <formula>TODAY()</formula>
      <formula>DATE(YEAR(TODAY())+3,MONTH(TODAY()),DAY(TODAY()-1))</formula>
    </cfRule>
  </conditionalFormatting>
  <conditionalFormatting sqref="I30:J30">
    <cfRule type="cellIs" dxfId="170" priority="99" operator="notBetween">
      <formula>TODAY()</formula>
      <formula>DATE(YEAR(TODAY())+5,MONTH(TODAY()),DAY(TODAY()-1))</formula>
    </cfRule>
  </conditionalFormatting>
  <conditionalFormatting sqref="E27:N27">
    <cfRule type="expression" dxfId="169" priority="82">
      <formula>$D$27="-"</formula>
    </cfRule>
  </conditionalFormatting>
  <conditionalFormatting sqref="E31:E32">
    <cfRule type="expression" dxfId="168" priority="79">
      <formula>$D$31="-"</formula>
    </cfRule>
  </conditionalFormatting>
  <conditionalFormatting sqref="J52:J53">
    <cfRule type="containsBlanks" dxfId="167" priority="64">
      <formula>LEN(TRIM(J52))=0</formula>
    </cfRule>
  </conditionalFormatting>
  <conditionalFormatting sqref="B52:B53">
    <cfRule type="containsBlanks" dxfId="166" priority="63">
      <formula>LEN(TRIM(B52))=0</formula>
    </cfRule>
  </conditionalFormatting>
  <conditionalFormatting sqref="E44:N44">
    <cfRule type="expression" dxfId="165" priority="2">
      <formula>$E$44=""</formula>
    </cfRule>
  </conditionalFormatting>
  <conditionalFormatting sqref="C66:N66">
    <cfRule type="notContainsBlanks" dxfId="164" priority="43">
      <formula>LEN(TRIM(C66))&gt;0</formula>
    </cfRule>
  </conditionalFormatting>
  <conditionalFormatting sqref="E35:N36">
    <cfRule type="cellIs" dxfId="163" priority="42" operator="equal">
      <formula>HLOOKUP(Language,Translation,275)</formula>
    </cfRule>
  </conditionalFormatting>
  <conditionalFormatting sqref="B74">
    <cfRule type="containsBlanks" dxfId="162" priority="87">
      <formula>LEN(TRIM(B74))=0</formula>
    </cfRule>
  </conditionalFormatting>
  <conditionalFormatting sqref="L39">
    <cfRule type="expression" dxfId="161" priority="30">
      <formula>$D$39="-"</formula>
    </cfRule>
  </conditionalFormatting>
  <conditionalFormatting sqref="J79 J82">
    <cfRule type="containsBlanks" dxfId="160" priority="14">
      <formula>LEN(TRIM(J79))=0</formula>
    </cfRule>
  </conditionalFormatting>
  <conditionalFormatting sqref="B79">
    <cfRule type="containsBlanks" dxfId="159" priority="13">
      <formula>LEN(TRIM(B79))=0</formula>
    </cfRule>
  </conditionalFormatting>
  <conditionalFormatting sqref="B82">
    <cfRule type="containsBlanks" dxfId="158" priority="12">
      <formula>LEN(TRIM(B82))=0</formula>
    </cfRule>
  </conditionalFormatting>
  <conditionalFormatting sqref="C77:N77">
    <cfRule type="notContainsBlanks" dxfId="157" priority="10">
      <formula>LEN(TRIM(C77))&gt;0</formula>
    </cfRule>
  </conditionalFormatting>
  <conditionalFormatting sqref="M63">
    <cfRule type="containsBlanks" dxfId="156" priority="308">
      <formula>LEN(TRIM(M63))=0</formula>
    </cfRule>
  </conditionalFormatting>
  <conditionalFormatting sqref="C63 J63">
    <cfRule type="cellIs" dxfId="155" priority="106" operator="equal">
      <formula>"WVERWEIS(Language;Translation;232)+'Language table'!$A$1"</formula>
    </cfRule>
  </conditionalFormatting>
  <conditionalFormatting sqref="E46:N46">
    <cfRule type="expression" dxfId="154" priority="3">
      <formula>$D$46="-"</formula>
    </cfRule>
  </conditionalFormatting>
  <conditionalFormatting sqref="A65">
    <cfRule type="containsBlanks" dxfId="153" priority="309">
      <formula>LEN(TRIM(A65))=0</formula>
    </cfRule>
  </conditionalFormatting>
  <conditionalFormatting sqref="E45:N45">
    <cfRule type="expression" dxfId="152" priority="1">
      <formula>$E$45=""</formula>
    </cfRule>
  </conditionalFormatting>
  <dataValidations count="12">
    <dataValidation type="list" allowBlank="1" showInputMessage="1" showErrorMessage="1" sqref="I19:I21" xr:uid="{90D32648-0B2A-4A27-80DD-65FF76C7F108}">
      <formula1>TC</formula1>
    </dataValidation>
    <dataValidation type="list" allowBlank="1" showInputMessage="1" showErrorMessage="1" sqref="I37:I38 M36 M18 E34 E41 E25:E32 M43:M45" xr:uid="{30EE962F-2D1D-484B-B766-BD322C5AB173}">
      <formula1>Selection</formula1>
    </dataValidation>
    <dataValidation type="list" allowBlank="1" showInputMessage="1" showErrorMessage="1" sqref="I26 G58" xr:uid="{B85D4ABC-502E-4E43-A0B3-A6549EA1ABCF}">
      <formula1>Rating</formula1>
    </dataValidation>
    <dataValidation type="list" allowBlank="1" showInputMessage="1" showErrorMessage="1" sqref="C63" xr:uid="{769C540E-6178-471D-A27A-7E8EB9844CCD}">
      <formula1>Approval</formula1>
    </dataValidation>
    <dataValidation type="list" allowBlank="1" showInputMessage="1" showErrorMessage="1" sqref="A19 I21" xr:uid="{7B85FD9B-D9D9-4524-97EA-7C3329DD5FF7}">
      <formula1>VendorClass</formula1>
    </dataValidation>
    <dataValidation type="list" allowBlank="1" showInputMessage="1" showErrorMessage="1" sqref="E35:E36" xr:uid="{268013BC-036C-4E0A-B1BD-9B4B035E3258}">
      <formula1>Insurance</formula1>
    </dataValidation>
    <dataValidation type="list" allowBlank="1" showInputMessage="1" showErrorMessage="1" sqref="B51:G51 J51:N51" xr:uid="{84AF8A01-13E3-423B-944E-FB599AE7FC8A}">
      <formula1>Decision</formula1>
    </dataValidation>
    <dataValidation type="list" allowBlank="1" showInputMessage="1" showErrorMessage="1" sqref="G33:J33" xr:uid="{754DF4A0-8166-4E1E-8B8F-B335FDE48B1A}">
      <formula1>CScat</formula1>
    </dataValidation>
    <dataValidation type="list" allowBlank="1" showInputMessage="1" showErrorMessage="1" sqref="E37:F38 E40:F40" xr:uid="{18AB6677-FCE0-4BF3-90F9-18F9702835DE}">
      <formula1>Selection3</formula1>
    </dataValidation>
    <dataValidation type="list" allowBlank="1" showInputMessage="1" showErrorMessage="1" sqref="D58:F58" xr:uid="{D6F97ABE-86F9-43CF-9C3D-5C109EB0C870}">
      <formula1>Selection4</formula1>
    </dataValidation>
    <dataValidation type="list" allowBlank="1" showInputMessage="1" showErrorMessage="1" sqref="I64:N64" xr:uid="{5983CFF2-AF9F-481E-98E9-A13718543831}">
      <formula1>Conditions</formula1>
    </dataValidation>
    <dataValidation type="list" allowBlank="1" showInputMessage="1" showErrorMessage="1" sqref="H5:I5" xr:uid="{990CACA9-0236-4CF2-91C7-7165E6737868}">
      <formula1>SAP</formula1>
    </dataValidation>
  </dataValidations>
  <pageMargins left="0.70866141732283472" right="0.70866141732283472" top="0.74803149606299213" bottom="0.74803149606299213" header="0.31496062992125984" footer="0.31496062992125984"/>
  <pageSetup paperSize="9" scale="83" fitToHeight="0" orientation="portrait" r:id="rId1"/>
  <headerFooter>
    <oddFooter>&amp;L&amp;6T.PU.005 Supplier Self Assessment and Approval Form / V3.3 / T.Schneider / 14.03.2024&amp;C&amp;1#&amp;8&amp;KA6A6A6restricted&amp;R&amp;6&amp;A   &amp;P/&amp;N</oddFooter>
  </headerFooter>
  <rowBreaks count="2" manualBreakCount="2">
    <brk id="48" max="13" man="1"/>
    <brk id="76" max="13"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51" id="{00000000-000E-0000-0600-00001A000000}">
            <xm:f>OR(AND($J$74="",$M$43='Language table'!$C$4),AND($J$74="",$E$44=HLOOKUP(Language,Translation,272)))</xm:f>
            <x14:dxf>
              <fill>
                <patternFill>
                  <bgColor theme="3" tint="0.79998168889431442"/>
                </patternFill>
              </fill>
            </x14:dxf>
          </x14:cfRule>
          <xm:sqref>J74</xm:sqref>
        </x14:conditionalFormatting>
        <x14:conditionalFormatting xmlns:xm="http://schemas.microsoft.com/office/excel/2006/main">
          <x14:cfRule type="expression" priority="37" id="{00000000-000E-0000-0600-00000C000000}">
            <xm:f>OR($M$43='Language table'!$C$4,$E$44=HLOOKUP(Language,Translation,272))</xm:f>
            <x14:dxf>
              <font>
                <color auto="1"/>
              </font>
              <fill>
                <patternFill patternType="none">
                  <bgColor auto="1"/>
                </patternFill>
              </fill>
            </x14:dxf>
          </x14:cfRule>
          <xm:sqref>H73:I75 J73</xm:sqref>
        </x14:conditionalFormatting>
        <x14:conditionalFormatting xmlns:xm="http://schemas.microsoft.com/office/excel/2006/main">
          <x14:cfRule type="expression" priority="70" id="{D6DA62D2-3B45-4BC8-B03C-DAC0AF5C8E38}">
            <xm:f>AND($D$31="x",$E$31='Language table'!$D$4)</xm:f>
            <x14:dxf>
              <fill>
                <patternFill>
                  <bgColor rgb="FFFF0000"/>
                </patternFill>
              </fill>
            </x14:dxf>
          </x14:cfRule>
          <xm:sqref>E31:E32</xm:sqref>
        </x14:conditionalFormatting>
        <x14:conditionalFormatting xmlns:xm="http://schemas.microsoft.com/office/excel/2006/main">
          <x14:cfRule type="cellIs" priority="305" operator="equal" id="{EF234E95-E565-485E-8CF2-9EEAC7D6C99E}">
            <xm:f>'Language table'!$B$3</xm:f>
            <x14:dxf>
              <fill>
                <patternFill>
                  <bgColor theme="3" tint="0.79998168889431442"/>
                </patternFill>
              </fill>
            </x14:dxf>
          </x14:cfRule>
          <xm:sqref>E25:E32 M36 I37:I38 E34:E36 G33 H5</xm:sqref>
        </x14:conditionalFormatting>
        <x14:conditionalFormatting xmlns:xm="http://schemas.microsoft.com/office/excel/2006/main">
          <x14:cfRule type="cellIs" priority="137" operator="equal" id="{7605C371-5D55-46A3-BEA6-F0DDC78C7E58}">
            <xm:f>'Language table'!$B$3</xm:f>
            <x14:dxf>
              <fill>
                <patternFill>
                  <bgColor theme="3" tint="0.79998168889431442"/>
                </patternFill>
              </fill>
            </x14:dxf>
          </x14:cfRule>
          <xm:sqref>I20</xm:sqref>
        </x14:conditionalFormatting>
        <x14:conditionalFormatting xmlns:xm="http://schemas.microsoft.com/office/excel/2006/main">
          <x14:cfRule type="cellIs" priority="134" operator="equal" id="{BDBF7362-1171-4043-94C2-B9D3E406F378}">
            <xm:f>'Language table'!$B$3</xm:f>
            <x14:dxf>
              <fill>
                <patternFill>
                  <bgColor theme="3" tint="0.79998168889431442"/>
                </patternFill>
              </fill>
            </x14:dxf>
          </x14:cfRule>
          <xm:sqref>I19</xm:sqref>
        </x14:conditionalFormatting>
        <x14:conditionalFormatting xmlns:xm="http://schemas.microsoft.com/office/excel/2006/main">
          <x14:cfRule type="cellIs" priority="133" operator="equal" id="{D9BAFB7A-11A1-4579-89B2-D66648BE5295}">
            <xm:f>'Language table'!$B$3</xm:f>
            <x14:dxf>
              <fill>
                <patternFill>
                  <bgColor theme="3" tint="0.79998168889431442"/>
                </patternFill>
              </fill>
            </x14:dxf>
          </x14:cfRule>
          <xm:sqref>I21</xm:sqref>
        </x14:conditionalFormatting>
        <x14:conditionalFormatting xmlns:xm="http://schemas.microsoft.com/office/excel/2006/main">
          <x14:cfRule type="cellIs" priority="130" operator="equal" id="{1FE6296A-A968-421A-B191-C6615E592FC4}">
            <xm:f>'Language table'!$B$3</xm:f>
            <x14:dxf>
              <fill>
                <patternFill>
                  <bgColor theme="3" tint="0.79998168889431442"/>
                </patternFill>
              </fill>
            </x14:dxf>
          </x14:cfRule>
          <xm:sqref>E37</xm:sqref>
        </x14:conditionalFormatting>
        <x14:conditionalFormatting xmlns:xm="http://schemas.microsoft.com/office/excel/2006/main">
          <x14:cfRule type="cellIs" priority="129" operator="equal" id="{3851AA44-8644-4CF1-8F1B-796A1C35380F}">
            <xm:f>'Language table'!$B$3</xm:f>
            <x14:dxf>
              <fill>
                <patternFill>
                  <bgColor theme="3" tint="0.79998168889431442"/>
                </patternFill>
              </fill>
            </x14:dxf>
          </x14:cfRule>
          <xm:sqref>E40</xm:sqref>
        </x14:conditionalFormatting>
        <x14:conditionalFormatting xmlns:xm="http://schemas.microsoft.com/office/excel/2006/main">
          <x14:cfRule type="cellIs" priority="124" operator="equal" id="{EAE3F85E-83DB-4107-84FE-909CA8114AB8}">
            <xm:f>'Language table'!$B$3</xm:f>
            <x14:dxf>
              <fill>
                <patternFill>
                  <bgColor theme="3" tint="0.79998168889431442"/>
                </patternFill>
              </fill>
            </x14:dxf>
          </x14:cfRule>
          <xm:sqref>E41</xm:sqref>
        </x14:conditionalFormatting>
        <x14:conditionalFormatting xmlns:xm="http://schemas.microsoft.com/office/excel/2006/main">
          <x14:cfRule type="cellIs" priority="120" operator="equal" id="{D6CF0BC5-77D5-4E2D-A421-AD396D3CEA2E}">
            <xm:f>'Language table'!$B$3</xm:f>
            <x14:dxf>
              <fill>
                <patternFill>
                  <bgColor theme="3" tint="0.79998168889431442"/>
                </patternFill>
              </fill>
            </x14:dxf>
          </x14:cfRule>
          <x14:cfRule type="cellIs" priority="296" operator="equal" id="{7B99B8DB-23AC-4561-818B-DA3C4426A111}">
            <xm:f>'Language table'!$E$7</xm:f>
            <x14:dxf>
              <fill>
                <patternFill>
                  <bgColor rgb="FF92D050"/>
                </patternFill>
              </fill>
            </x14:dxf>
          </x14:cfRule>
          <x14:cfRule type="cellIs" priority="297" operator="equal" id="{0FF21331-EE16-446B-A3E2-B30E84A0BB70}">
            <xm:f>'Language table'!$D$7</xm:f>
            <x14:dxf>
              <fill>
                <patternFill>
                  <bgColor rgb="FFFFFF00"/>
                </patternFill>
              </fill>
            </x14:dxf>
          </x14:cfRule>
          <xm:sqref>I26 G58</xm:sqref>
        </x14:conditionalFormatting>
        <x14:conditionalFormatting xmlns:xm="http://schemas.microsoft.com/office/excel/2006/main">
          <x14:cfRule type="cellIs" priority="298" operator="equal" id="{05D0D44B-AD7E-42AD-A203-9B299408B785}">
            <xm:f>'Language table'!$C$7</xm:f>
            <x14:dxf>
              <fill>
                <patternFill>
                  <bgColor rgb="FFFF0000"/>
                </patternFill>
              </fill>
            </x14:dxf>
          </x14:cfRule>
          <xm:sqref>I26 G58:I58</xm:sqref>
        </x14:conditionalFormatting>
        <x14:conditionalFormatting xmlns:xm="http://schemas.microsoft.com/office/excel/2006/main">
          <x14:cfRule type="cellIs" priority="119" operator="equal" id="{6C6457DB-57C9-4CC8-A1D9-C75658B122A6}">
            <xm:f>'Language table'!$B$3</xm:f>
            <x14:dxf>
              <fill>
                <patternFill>
                  <bgColor theme="3" tint="0.79998168889431442"/>
                </patternFill>
              </fill>
            </x14:dxf>
          </x14:cfRule>
          <xm:sqref>D58</xm:sqref>
        </x14:conditionalFormatting>
        <x14:conditionalFormatting xmlns:xm="http://schemas.microsoft.com/office/excel/2006/main">
          <x14:cfRule type="cellIs" priority="111" operator="equal" id="{D7514EC7-B255-4C8D-BB96-97DC5E9BCA45}">
            <xm:f>'Language table'!$B$3</xm:f>
            <x14:dxf>
              <fill>
                <patternFill>
                  <bgColor theme="3" tint="0.79998168889431442"/>
                </patternFill>
              </fill>
            </x14:dxf>
          </x14:cfRule>
          <xm:sqref>C63</xm:sqref>
        </x14:conditionalFormatting>
        <x14:conditionalFormatting xmlns:xm="http://schemas.microsoft.com/office/excel/2006/main">
          <x14:cfRule type="expression" priority="5" id="{BF74B252-1C8F-4C83-96EE-66EB4DE447B4}">
            <xm:f>$C$63&lt;&gt;'Language table'!$D$8</xm:f>
            <x14:dxf>
              <font>
                <color theme="0"/>
              </font>
              <fill>
                <patternFill>
                  <bgColor theme="0"/>
                </patternFill>
              </fill>
            </x14:dxf>
          </x14:cfRule>
          <xm:sqref>A64:N65</xm:sqref>
        </x14:conditionalFormatting>
        <x14:conditionalFormatting xmlns:xm="http://schemas.microsoft.com/office/excel/2006/main">
          <x14:cfRule type="expression" priority="88" id="{259982C0-839C-41DA-B264-155A7DA1B5F9}">
            <xm:f>VC='Language table'!$F$3</xm:f>
            <x14:dxf>
              <font>
                <color theme="0"/>
              </font>
              <fill>
                <patternFill>
                  <bgColor theme="0"/>
                </patternFill>
              </fill>
            </x14:dxf>
          </x14:cfRule>
          <xm:sqref>H67:N69</xm:sqref>
        </x14:conditionalFormatting>
        <x14:conditionalFormatting xmlns:xm="http://schemas.microsoft.com/office/excel/2006/main">
          <x14:cfRule type="expression" priority="40" id="{3FB41715-FD78-4726-8137-8753DA3F5957}">
            <xm:f>OR(VC='Language table'!$E$3,VC='Language table'!$F$3)</xm:f>
            <x14:dxf>
              <font>
                <color theme="0"/>
              </font>
              <fill>
                <patternFill>
                  <bgColor theme="0"/>
                </patternFill>
              </fill>
              <border>
                <vertical/>
                <horizontal/>
              </border>
            </x14:dxf>
          </x14:cfRule>
          <xm:sqref>A70:N72 A73:G75</xm:sqref>
        </x14:conditionalFormatting>
        <x14:conditionalFormatting xmlns:xm="http://schemas.microsoft.com/office/excel/2006/main">
          <x14:cfRule type="expression" priority="83" id="{28EA4F7E-5A85-416A-9DBF-BBDAA9C0BDC2}">
            <xm:f>AND(D27="(x)",'B Financial &amp; C Quality'!$H$30:$I$30="")</xm:f>
            <x14:dxf>
              <font>
                <color theme="0"/>
              </font>
              <fill>
                <patternFill patternType="none">
                  <bgColor auto="1"/>
                </patternFill>
              </fill>
            </x14:dxf>
          </x14:cfRule>
          <xm:sqref>I27:J27</xm:sqref>
        </x14:conditionalFormatting>
        <x14:conditionalFormatting xmlns:xm="http://schemas.microsoft.com/office/excel/2006/main">
          <x14:cfRule type="expression" priority="95" id="{926D2F9B-6324-4B4E-BE0F-A93B556003C9}">
            <xm:f>AND(D28="(x)",'B Financial &amp; C Quality'!$H$31:$I$31="")</xm:f>
            <x14:dxf>
              <font>
                <color theme="0"/>
              </font>
              <fill>
                <patternFill patternType="solid">
                  <bgColor theme="0"/>
                </patternFill>
              </fill>
            </x14:dxf>
          </x14:cfRule>
          <xm:sqref>I28</xm:sqref>
        </x14:conditionalFormatting>
        <x14:conditionalFormatting xmlns:xm="http://schemas.microsoft.com/office/excel/2006/main">
          <x14:cfRule type="expression" priority="80" id="{72918ED9-6A02-4D06-8AC4-9EC91A98D239}">
            <xm:f>AND(D29="(x)",'B Financial &amp; C Quality'!$H$29:$I$29="")</xm:f>
            <x14:dxf>
              <font>
                <color theme="0"/>
              </font>
              <fill>
                <patternFill>
                  <bgColor theme="0"/>
                </patternFill>
              </fill>
            </x14:dxf>
          </x14:cfRule>
          <xm:sqref>I29:J29</xm:sqref>
        </x14:conditionalFormatting>
        <x14:conditionalFormatting xmlns:xm="http://schemas.microsoft.com/office/excel/2006/main">
          <x14:cfRule type="expression" priority="76" id="{0620C71A-1E23-426F-B611-025697F77678}">
            <xm:f>AND($D$25="x",$E$25='Language table'!$D$4)</xm:f>
            <x14:dxf>
              <fill>
                <patternFill>
                  <bgColor rgb="FFFF0000"/>
                </patternFill>
              </fill>
            </x14:dxf>
          </x14:cfRule>
          <xm:sqref>E25:F25</xm:sqref>
        </x14:conditionalFormatting>
        <x14:conditionalFormatting xmlns:xm="http://schemas.microsoft.com/office/excel/2006/main">
          <x14:cfRule type="expression" priority="75" id="{473A054A-13F1-44BF-B525-1F21293BDF50}">
            <xm:f>AND($D$26="x",$E$26='Language table'!$D$4)</xm:f>
            <x14:dxf>
              <fill>
                <patternFill>
                  <bgColor rgb="FFFF0000"/>
                </patternFill>
              </fill>
            </x14:dxf>
          </x14:cfRule>
          <xm:sqref>E26:F26</xm:sqref>
        </x14:conditionalFormatting>
        <x14:conditionalFormatting xmlns:xm="http://schemas.microsoft.com/office/excel/2006/main">
          <x14:cfRule type="expression" priority="74" id="{E865F070-A239-4A73-B09A-69FAB89C3EED}">
            <xm:f>AND($D$27="x",$E$27='Language table'!$D$4)</xm:f>
            <x14:dxf>
              <fill>
                <patternFill>
                  <bgColor rgb="FFFF0000"/>
                </patternFill>
              </fill>
            </x14:dxf>
          </x14:cfRule>
          <xm:sqref>E27:F27</xm:sqref>
        </x14:conditionalFormatting>
        <x14:conditionalFormatting xmlns:xm="http://schemas.microsoft.com/office/excel/2006/main">
          <x14:cfRule type="expression" priority="73" id="{8F69697D-17FB-4B78-81A6-334008D9FEA1}">
            <xm:f>AND($D$28="x",$E$28='Language table'!$D$4)</xm:f>
            <x14:dxf>
              <fill>
                <patternFill>
                  <bgColor rgb="FFFF0000"/>
                </patternFill>
              </fill>
            </x14:dxf>
          </x14:cfRule>
          <xm:sqref>E28:F28</xm:sqref>
        </x14:conditionalFormatting>
        <x14:conditionalFormatting xmlns:xm="http://schemas.microsoft.com/office/excel/2006/main">
          <x14:cfRule type="expression" priority="72" id="{B34EE5CD-6162-4E4D-ABE7-18BAA43F3B72}">
            <xm:f>AND($D$29="x",$E$29='Language table'!$D$4)</xm:f>
            <x14:dxf>
              <fill>
                <patternFill>
                  <bgColor rgb="FFFF0000"/>
                </patternFill>
              </fill>
            </x14:dxf>
          </x14:cfRule>
          <xm:sqref>E29:F29</xm:sqref>
        </x14:conditionalFormatting>
        <x14:conditionalFormatting xmlns:xm="http://schemas.microsoft.com/office/excel/2006/main">
          <x14:cfRule type="expression" priority="71" id="{FEC08FE4-A075-41C3-B14E-D2A2D156CB94}">
            <xm:f>AND($D$30="x",$E$30='Language table'!$D$4)</xm:f>
            <x14:dxf>
              <fill>
                <patternFill>
                  <bgColor rgb="FFFF0000"/>
                </patternFill>
              </fill>
            </x14:dxf>
          </x14:cfRule>
          <xm:sqref>E30:F30</xm:sqref>
        </x14:conditionalFormatting>
        <x14:conditionalFormatting xmlns:xm="http://schemas.microsoft.com/office/excel/2006/main">
          <x14:cfRule type="expression" priority="68" id="{302B78E8-63C0-40E5-B1B0-D4B3A0A87208}">
            <xm:f>AND($D$34="x",$E$34='Language table'!$D$4)</xm:f>
            <x14:dxf>
              <fill>
                <patternFill>
                  <bgColor rgb="FFFF0000"/>
                </patternFill>
              </fill>
            </x14:dxf>
          </x14:cfRule>
          <xm:sqref>E34:F34</xm:sqref>
        </x14:conditionalFormatting>
        <x14:conditionalFormatting xmlns:xm="http://schemas.microsoft.com/office/excel/2006/main">
          <x14:cfRule type="expression" priority="67" id="{FAE75C4D-C689-4580-A750-B4DEBDF61CE2}">
            <xm:f>AND($D$37="x",$E$37='Language table'!$D$4)</xm:f>
            <x14:dxf>
              <fill>
                <patternFill>
                  <bgColor rgb="FFFF0000"/>
                </patternFill>
              </fill>
            </x14:dxf>
          </x14:cfRule>
          <xm:sqref>E37:F38</xm:sqref>
        </x14:conditionalFormatting>
        <x14:conditionalFormatting xmlns:xm="http://schemas.microsoft.com/office/excel/2006/main">
          <x14:cfRule type="expression" priority="66" id="{A2632B07-218F-4935-9C7B-7D225178C8AA}">
            <xm:f>AND($D$40="x",$E$40='Language table'!$D$4)</xm:f>
            <x14:dxf>
              <fill>
                <patternFill>
                  <bgColor rgb="FFFF0000"/>
                </patternFill>
              </fill>
            </x14:dxf>
          </x14:cfRule>
          <xm:sqref>E40:F40</xm:sqref>
        </x14:conditionalFormatting>
        <x14:conditionalFormatting xmlns:xm="http://schemas.microsoft.com/office/excel/2006/main">
          <x14:cfRule type="expression" priority="61" id="{73E0F205-FAA8-46DF-A331-02C1EAEA7564}">
            <xm:f>AND($E$31='Language table'!$C$4,$I$31&gt;TODAY()-1)</xm:f>
            <x14:dxf>
              <font>
                <color theme="0"/>
              </font>
              <fill>
                <patternFill>
                  <bgColor theme="0"/>
                </patternFill>
              </fill>
            </x14:dxf>
          </x14:cfRule>
          <xm:sqref>H50:N50 H53:N54 H51:H52 J51 J52:N52</xm:sqref>
        </x14:conditionalFormatting>
        <x14:conditionalFormatting xmlns:xm="http://schemas.microsoft.com/office/excel/2006/main">
          <x14:cfRule type="cellIs" priority="57" operator="equal" id="{3E6F9FD1-9790-4238-9D58-87AB4E5AE2F4}">
            <xm:f>'Language table'!$B$3</xm:f>
            <x14:dxf>
              <fill>
                <patternFill>
                  <bgColor theme="3" tint="0.79998168889431442"/>
                </patternFill>
              </fill>
            </x14:dxf>
          </x14:cfRule>
          <xm:sqref>M43:M45</xm:sqref>
        </x14:conditionalFormatting>
        <x14:conditionalFormatting xmlns:xm="http://schemas.microsoft.com/office/excel/2006/main">
          <x14:cfRule type="expression" priority="303" id="{00000000-000E-0000-0600-000007000000}">
            <xm:f>$M$45&lt;&gt;'Language table'!$C$4</xm:f>
            <x14:dxf>
              <fill>
                <patternFill>
                  <bgColor rgb="FFFF0000"/>
                </patternFill>
              </fill>
            </x14:dxf>
          </x14:cfRule>
          <xm:sqref>E45</xm:sqref>
        </x14:conditionalFormatting>
        <x14:conditionalFormatting xmlns:xm="http://schemas.microsoft.com/office/excel/2006/main">
          <x14:cfRule type="expression" priority="304" id="{8B4C7112-335B-4C18-B391-5E37114860D4}">
            <xm:f>$M$43&lt;&gt;'Language table'!$D$4</xm:f>
            <x14:dxf>
              <fill>
                <patternFill>
                  <bgColor rgb="FFFF0000"/>
                </patternFill>
              </fill>
            </x14:dxf>
          </x14:cfRule>
          <xm:sqref>E43</xm:sqref>
        </x14:conditionalFormatting>
        <x14:conditionalFormatting xmlns:xm="http://schemas.microsoft.com/office/excel/2006/main">
          <x14:cfRule type="expression" priority="16" id="{D261436C-C8AE-4631-A15E-4E56884C2729}">
            <xm:f>OR(VC='Language table'!$E$3,VC='Language table'!$F$3)</xm:f>
            <x14:dxf>
              <font>
                <color theme="0"/>
              </font>
              <fill>
                <patternFill>
                  <bgColor theme="0"/>
                </patternFill>
              </fill>
            </x14:dxf>
          </x14:cfRule>
          <xm:sqref>A57:N58 F61:N62</xm:sqref>
        </x14:conditionalFormatting>
        <x14:conditionalFormatting xmlns:xm="http://schemas.microsoft.com/office/excel/2006/main">
          <x14:cfRule type="expression" priority="36" id="{186C2DCB-47F3-4E6B-91BD-6BB419C9F14E}">
            <xm:f>$C$63='Language table'!$C$8</xm:f>
            <x14:dxf>
              <font>
                <color theme="0"/>
              </font>
              <fill>
                <patternFill>
                  <bgColor theme="0"/>
                </patternFill>
              </fill>
            </x14:dxf>
          </x14:cfRule>
          <xm:sqref>A73:G75</xm:sqref>
        </x14:conditionalFormatting>
        <x14:conditionalFormatting xmlns:xm="http://schemas.microsoft.com/office/excel/2006/main">
          <x14:cfRule type="cellIs" priority="32" operator="equal" id="{E96686F3-171E-4124-A4D5-057FAC269A45}">
            <xm:f>'Language table'!$E$33</xm:f>
            <x14:dxf>
              <fill>
                <patternFill>
                  <bgColor rgb="FFFF0000"/>
                </patternFill>
              </fill>
            </x14:dxf>
          </x14:cfRule>
          <x14:cfRule type="cellIs" priority="33" operator="equal" id="{7F6B3B16-309C-4A59-A76E-D49CB900E266}">
            <xm:f>'Language table'!$E$32</xm:f>
            <x14:dxf>
              <fill>
                <patternFill>
                  <bgColor rgb="FFFFFF00"/>
                </patternFill>
              </fill>
            </x14:dxf>
          </x14:cfRule>
          <x14:cfRule type="cellIs" priority="34" operator="equal" id="{53377AAA-3347-4D9B-8BB5-D9A974EBD55A}">
            <xm:f>'Language table'!$E$31</xm:f>
            <x14:dxf>
              <fill>
                <patternFill>
                  <bgColor rgb="FF00B050"/>
                </patternFill>
              </fill>
            </x14:dxf>
          </x14:cfRule>
          <x14:cfRule type="cellIs" priority="35" operator="equal" id="{5268E905-C0A6-4825-B606-012CDE761A32}">
            <xm:f>'Language table'!$E$30</xm:f>
            <x14:dxf>
              <fill>
                <patternFill>
                  <bgColor theme="3" tint="0.79998168889431442"/>
                </patternFill>
              </fill>
            </x14:dxf>
          </x14:cfRule>
          <xm:sqref>B51 J51</xm:sqref>
        </x14:conditionalFormatting>
        <x14:conditionalFormatting xmlns:xm="http://schemas.microsoft.com/office/excel/2006/main">
          <x14:cfRule type="expression" priority="26" id="{3DC5B998-079F-499B-86D9-8C1005FC59C2}">
            <xm:f>$G$33='Language table'!$E$63</xm:f>
            <x14:dxf>
              <font>
                <color theme="0"/>
              </font>
              <fill>
                <patternFill>
                  <bgColor theme="0"/>
                </patternFill>
              </fill>
            </x14:dxf>
          </x14:cfRule>
          <xm:sqref>H50:N54 E31 G31:J31</xm:sqref>
        </x14:conditionalFormatting>
        <x14:conditionalFormatting xmlns:xm="http://schemas.microsoft.com/office/excel/2006/main">
          <x14:cfRule type="expression" priority="25" id="{ABFD77E0-6FE1-44D9-8780-1A2E7A3F3694}">
            <xm:f>$E$37='Language table'!$E$4</xm:f>
            <x14:dxf>
              <font>
                <color theme="0"/>
              </font>
              <fill>
                <patternFill>
                  <bgColor theme="0"/>
                </patternFill>
              </fill>
            </x14:dxf>
          </x14:cfRule>
          <xm:sqref>G37:K38</xm:sqref>
        </x14:conditionalFormatting>
        <x14:conditionalFormatting xmlns:xm="http://schemas.microsoft.com/office/excel/2006/main">
          <x14:cfRule type="expression" priority="24" id="{38FCD3A1-DF2F-4DBC-9FCB-027CBFA31AF4}">
            <xm:f>$E$40='Language table'!$E$4</xm:f>
            <x14:dxf>
              <font>
                <color theme="0"/>
              </font>
              <fill>
                <patternFill>
                  <bgColor theme="0"/>
                </patternFill>
              </fill>
            </x14:dxf>
          </x14:cfRule>
          <xm:sqref>G40:J40</xm:sqref>
        </x14:conditionalFormatting>
        <x14:conditionalFormatting xmlns:xm="http://schemas.microsoft.com/office/excel/2006/main">
          <x14:cfRule type="cellIs" priority="22" operator="equal" id="{E33FDF2E-201E-4629-80AE-BE7758F28AA5}">
            <xm:f>'Language table'!$B$3</xm:f>
            <x14:dxf>
              <fill>
                <patternFill>
                  <bgColor theme="3" tint="0.79998168889431442"/>
                </patternFill>
              </fill>
            </x14:dxf>
          </x14:cfRule>
          <xm:sqref>M18</xm:sqref>
        </x14:conditionalFormatting>
        <x14:conditionalFormatting xmlns:xm="http://schemas.microsoft.com/office/excel/2006/main">
          <x14:cfRule type="expression" priority="21" id="{FC5C89FA-D962-425B-ADC1-612B258DCD78}">
            <xm:f>AND($I$19&lt;&gt;'Language table'!$L$57,$I$20&lt;&gt;'Language table'!$L$57,$I$21&lt;&gt;'Language table'!$L$57)</xm:f>
            <x14:dxf>
              <font>
                <color theme="0"/>
              </font>
              <fill>
                <patternFill>
                  <bgColor theme="0"/>
                </patternFill>
              </fill>
            </x14:dxf>
          </x14:cfRule>
          <xm:sqref>I18:N18</xm:sqref>
        </x14:conditionalFormatting>
        <x14:conditionalFormatting xmlns:xm="http://schemas.microsoft.com/office/excel/2006/main">
          <x14:cfRule type="expression" priority="19" id="{DB3D25ED-7CEF-47B7-8FEB-A2F0CD5E8937}">
            <xm:f>$I$20='Language table'!$L$13</xm:f>
            <x14:dxf>
              <font>
                <color theme="0"/>
              </font>
              <fill>
                <patternFill>
                  <bgColor theme="0"/>
                </patternFill>
              </fill>
            </x14:dxf>
          </x14:cfRule>
          <xm:sqref>E20:N21</xm:sqref>
        </x14:conditionalFormatting>
        <x14:conditionalFormatting xmlns:xm="http://schemas.microsoft.com/office/excel/2006/main">
          <x14:cfRule type="expression" priority="20" id="{CD418AE1-E0F6-4CAF-89EF-7AEC72F448B1}">
            <xm:f>$I$21='Language table'!$L$13</xm:f>
            <x14:dxf>
              <font>
                <color theme="0"/>
              </font>
              <fill>
                <patternFill>
                  <bgColor theme="0"/>
                </patternFill>
              </fill>
            </x14:dxf>
          </x14:cfRule>
          <xm:sqref>E21:N21</xm:sqref>
        </x14:conditionalFormatting>
        <x14:conditionalFormatting xmlns:xm="http://schemas.microsoft.com/office/excel/2006/main">
          <x14:cfRule type="expression" priority="41" id="{0D37EA5A-825F-4C3D-BFB7-47A639C22BB8}">
            <xm:f>$D$58='Language table'!$E$9</xm:f>
            <x14:dxf>
              <font>
                <color theme="0"/>
              </font>
              <fill>
                <patternFill>
                  <bgColor theme="0"/>
                </patternFill>
              </fill>
            </x14:dxf>
          </x14:cfRule>
          <xm:sqref>G57:H58</xm:sqref>
        </x14:conditionalFormatting>
        <x14:conditionalFormatting xmlns:xm="http://schemas.microsoft.com/office/excel/2006/main">
          <x14:cfRule type="expression" priority="17" id="{2156FBEC-340B-4015-9C4C-F00AD2A20E86}">
            <xm:f>AND($D$58='Language table'!$E$9,$I$58="")</xm:f>
            <x14:dxf>
              <fill>
                <patternFill>
                  <bgColor rgb="FFFF0000"/>
                </patternFill>
              </fill>
            </x14:dxf>
          </x14:cfRule>
          <xm:sqref>I58:N58</xm:sqref>
        </x14:conditionalFormatting>
        <x14:conditionalFormatting xmlns:xm="http://schemas.microsoft.com/office/excel/2006/main">
          <x14:cfRule type="expression" priority="140" id="{00000000-000E-0000-0600-00004F000000}">
            <xm:f>OR($E$35='Language table'!$E$55,$E$35='Language table'!$E$56)</xm:f>
            <x14:dxf>
              <font>
                <color theme="0"/>
              </font>
              <fill>
                <patternFill>
                  <bgColor theme="0"/>
                </patternFill>
              </fill>
            </x14:dxf>
          </x14:cfRule>
          <xm:sqref>E36:N36</xm:sqref>
        </x14:conditionalFormatting>
        <x14:conditionalFormatting xmlns:xm="http://schemas.microsoft.com/office/excel/2006/main">
          <x14:cfRule type="expression" priority="307" id="{239CA77B-0A2D-4AF7-B295-41DAD0221001}">
            <xm:f>AND($D$35="x",$M$36='Language table'!$D$4)</xm:f>
            <x14:dxf>
              <fill>
                <patternFill>
                  <bgColor rgb="FFFF0000"/>
                </patternFill>
              </fill>
            </x14:dxf>
          </x14:cfRule>
          <xm:sqref>M36:N36</xm:sqref>
        </x14:conditionalFormatting>
        <x14:conditionalFormatting xmlns:xm="http://schemas.microsoft.com/office/excel/2006/main">
          <x14:cfRule type="expression" priority="15" id="{34934707-8E3B-4CA7-9883-71E061845B82}">
            <xm:f>OR($E$35='Language table'!$E$55,$E$35='Language table'!$E$56)</xm:f>
            <x14:dxf>
              <font>
                <color theme="0"/>
              </font>
              <fill>
                <patternFill>
                  <bgColor theme="0"/>
                </patternFill>
              </fill>
            </x14:dxf>
          </x14:cfRule>
          <xm:sqref>A50:G54</xm:sqref>
        </x14:conditionalFormatting>
        <x14:conditionalFormatting xmlns:xm="http://schemas.microsoft.com/office/excel/2006/main">
          <x14:cfRule type="expression" priority="23" id="{00000000-000E-0000-0600-000008000000}">
            <xm:f>OR($E$35='Language table'!$E$53,$E$35='Language table'!$E$55)</xm:f>
            <x14:dxf>
              <fill>
                <patternFill>
                  <bgColor rgb="FFFFFF00"/>
                </patternFill>
              </fill>
            </x14:dxf>
          </x14:cfRule>
          <xm:sqref>E35:N35</xm:sqref>
        </x14:conditionalFormatting>
        <x14:conditionalFormatting xmlns:xm="http://schemas.microsoft.com/office/excel/2006/main">
          <x14:cfRule type="expression" priority="8" id="{924E3F30-61F9-48C5-AF72-C2894616064D}">
            <xm:f>OR(VC='Language table'!$E$3,VC='Language table'!$F$3)</xm:f>
            <x14:dxf>
              <font>
                <color theme="0"/>
              </font>
              <fill>
                <patternFill>
                  <bgColor theme="0"/>
                </patternFill>
              </fill>
            </x14:dxf>
          </x14:cfRule>
          <xm:sqref>A81:G83</xm:sqref>
        </x14:conditionalFormatting>
        <x14:conditionalFormatting xmlns:xm="http://schemas.microsoft.com/office/excel/2006/main">
          <x14:cfRule type="expression" priority="9" id="{438198A3-1F6A-4D1A-9007-F66B5A06F355}">
            <xm:f>VC&lt;&gt;'Language table'!$C$3</xm:f>
            <x14:dxf>
              <font>
                <color theme="0"/>
              </font>
              <fill>
                <patternFill>
                  <bgColor theme="0"/>
                </patternFill>
              </fill>
              <border>
                <vertical/>
                <horizontal/>
              </border>
            </x14:dxf>
          </x14:cfRule>
          <xm:sqref>H81:N83</xm:sqref>
        </x14:conditionalFormatting>
        <x14:conditionalFormatting xmlns:xm="http://schemas.microsoft.com/office/excel/2006/main">
          <x14:cfRule type="cellIs" priority="104" operator="equal" id="{2CDC48A8-650B-483B-93AD-38F909AB4533}">
            <xm:f>'Language table'!$E$8</xm:f>
            <x14:dxf>
              <fill>
                <patternFill>
                  <bgColor rgb="FFFF0000"/>
                </patternFill>
              </fill>
            </x14:dxf>
          </x14:cfRule>
          <x14:cfRule type="cellIs" priority="105" operator="equal" id="{216C4505-A1CF-4587-9408-9E9465114C8B}">
            <xm:f>'Language table'!$D$8</xm:f>
            <x14:dxf>
              <fill>
                <patternFill>
                  <bgColor rgb="FFFFFF00"/>
                </patternFill>
              </fill>
            </x14:dxf>
          </x14:cfRule>
          <xm:sqref>C63 J63</xm:sqref>
        </x14:conditionalFormatting>
        <x14:conditionalFormatting xmlns:xm="http://schemas.microsoft.com/office/excel/2006/main">
          <x14:cfRule type="expression" priority="6" id="{10D35D47-341E-42C2-8FC5-B87E01B98B1E}">
            <xm:f>$C$63&lt;&gt;'Language table'!$D$8</xm:f>
            <x14:dxf>
              <font>
                <color theme="0"/>
              </font>
              <fill>
                <patternFill>
                  <bgColor theme="0"/>
                </patternFill>
              </fill>
            </x14:dxf>
          </x14:cfRule>
          <xm:sqref>K63:N63</xm:sqref>
        </x14:conditionalFormatting>
        <x14:conditionalFormatting xmlns:xm="http://schemas.microsoft.com/office/excel/2006/main">
          <x14:cfRule type="cellIs" priority="107" operator="equal" id="{727BEE87-B3B5-4EA5-844E-923291E34DB4}">
            <xm:f>'Language table'!$B$3</xm:f>
            <x14:dxf>
              <fill>
                <patternFill>
                  <bgColor rgb="FFFF0000"/>
                </patternFill>
              </fill>
            </x14:dxf>
          </x14:cfRule>
          <xm:sqref>I64:N64</xm:sqref>
        </x14:conditionalFormatting>
        <x14:conditionalFormatting xmlns:xm="http://schemas.microsoft.com/office/excel/2006/main">
          <x14:cfRule type="cellIs" priority="4" operator="equal" id="{137641E5-5DB0-4087-BD3F-B53AAE30E656}">
            <xm:f>'Language table'!$D$4</xm:f>
            <x14:dxf>
              <fill>
                <patternFill>
                  <bgColor rgb="FFFF0000"/>
                </patternFill>
              </fill>
            </x14:dxf>
          </x14:cfRule>
          <xm:sqref>M46:N46</xm:sqref>
        </x14:conditionalFormatting>
        <x14:conditionalFormatting xmlns:xm="http://schemas.microsoft.com/office/excel/2006/main">
          <x14:cfRule type="expression" priority="52" id="{ABC5E843-6262-4DF3-9B94-5D77845C422B}">
            <xm:f>$M$44&lt;&gt;'Language table'!$C$4</xm:f>
            <x14:dxf>
              <fill>
                <patternFill>
                  <bgColor rgb="FFFF0000"/>
                </patternFill>
              </fill>
            </x14:dxf>
          </x14:cfRule>
          <xm:sqref>E44:L44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4CE9172-8ED9-4BCC-ABD7-65A16F5CDE07}">
          <x14:formula1>
            <xm:f>'Language table'!$B$12:$C$12</xm:f>
          </x14:formula1>
          <xm:sqref>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F2F8F-B870-467A-AF43-65C856AB7AE5}">
  <dimension ref="A1:Y341"/>
  <sheetViews>
    <sheetView topLeftCell="L1" zoomScale="90" zoomScaleNormal="90" workbookViewId="0">
      <selection activeCell="C64" sqref="C64"/>
    </sheetView>
  </sheetViews>
  <sheetFormatPr baseColWidth="10" defaultColWidth="11.5703125" defaultRowHeight="12.75"/>
  <cols>
    <col min="1" max="1" width="14.140625" customWidth="1"/>
    <col min="2" max="2" width="128" customWidth="1"/>
    <col min="3" max="3" width="87.28515625" customWidth="1"/>
    <col min="4" max="4" width="13" customWidth="1"/>
    <col min="5" max="5" width="38.28515625" customWidth="1"/>
    <col min="6" max="6" width="29.42578125" bestFit="1" customWidth="1"/>
    <col min="7" max="7" width="7.5703125" customWidth="1"/>
    <col min="8" max="8" width="7.140625" customWidth="1"/>
    <col min="9" max="9" width="6.7109375" customWidth="1"/>
    <col min="10" max="10" width="6.42578125" customWidth="1"/>
    <col min="11" max="11" width="8.140625" customWidth="1"/>
    <col min="12" max="12" width="47" bestFit="1" customWidth="1"/>
    <col min="13" max="13" width="12.140625" bestFit="1" customWidth="1"/>
    <col min="14" max="14" width="32" bestFit="1" customWidth="1"/>
    <col min="15" max="15" width="37.140625" bestFit="1" customWidth="1"/>
    <col min="16" max="16" width="3.7109375" customWidth="1"/>
    <col min="17" max="17" width="11.42578125" customWidth="1"/>
    <col min="18" max="18" width="9.28515625" bestFit="1" customWidth="1"/>
    <col min="19" max="20" width="37.85546875" bestFit="1" customWidth="1"/>
    <col min="21" max="21" width="42.7109375" bestFit="1" customWidth="1"/>
    <col min="23" max="23" width="30.85546875" bestFit="1" customWidth="1"/>
    <col min="24" max="24" width="15.85546875" bestFit="1" customWidth="1"/>
    <col min="25" max="25" width="4.42578125" bestFit="1" customWidth="1"/>
  </cols>
  <sheetData>
    <row r="1" spans="1:25">
      <c r="G1" s="1"/>
    </row>
    <row r="2" spans="1:25">
      <c r="G2" s="1"/>
    </row>
    <row r="3" spans="1:25" ht="13.5" thickBot="1">
      <c r="A3" t="s">
        <v>123</v>
      </c>
      <c r="B3" s="1" t="s">
        <v>118</v>
      </c>
      <c r="C3" s="1" t="str">
        <f>G13</f>
        <v>VC1</v>
      </c>
      <c r="D3" s="1" t="str">
        <f t="shared" ref="D3:F3" si="0">H13</f>
        <v>VC2</v>
      </c>
      <c r="E3" s="1" t="str">
        <f t="shared" si="0"/>
        <v>VC3</v>
      </c>
      <c r="F3" s="1" t="str">
        <f t="shared" si="0"/>
        <v>VC4</v>
      </c>
      <c r="G3" s="1"/>
      <c r="H3" s="1"/>
      <c r="L3" s="115" t="s">
        <v>230</v>
      </c>
      <c r="M3" s="116">
        <f>COUNTIF('E Social Responsibility'!$E$13:$E$73,'Language table'!C6)*6+COUNTIF('E Social Responsibility'!$E$13:$E$73,'Language table'!D6)*3</f>
        <v>0</v>
      </c>
      <c r="N3" s="119" t="s">
        <v>231</v>
      </c>
      <c r="O3" s="116">
        <f>IF(OR(VC="VC1",VC="VC2"),138,132)</f>
        <v>138</v>
      </c>
    </row>
    <row r="4" spans="1:25" ht="27.75" customHeight="1" thickBot="1">
      <c r="A4" s="1" t="s">
        <v>1701</v>
      </c>
      <c r="B4" s="1" t="str">
        <f t="shared" ref="B4:B9" si="1">$B$3</f>
        <v>Please select!</v>
      </c>
      <c r="C4" s="21" t="str">
        <f>HLOOKUP(Language,Translation,23)</f>
        <v>Yes</v>
      </c>
      <c r="D4" s="1" t="str">
        <f>HLOOKUP(Language,Translation,24)</f>
        <v>No</v>
      </c>
      <c r="E4" t="str">
        <f>HLOOKUP(Language,Translation,289)</f>
        <v>Via GSC</v>
      </c>
      <c r="L4" s="117" t="s">
        <v>23</v>
      </c>
      <c r="M4" s="159">
        <f>M3/O3</f>
        <v>0</v>
      </c>
      <c r="N4" s="118" t="str">
        <f>IF(M4&gt;0.75,"The total number of points is sufficient.","The total number of points is not sufficient.")</f>
        <v>The total number of points is not sufficient.</v>
      </c>
      <c r="O4" s="120" t="str">
        <f>IF(OR('E Social Responsibility'!E16&lt;&gt;'Language table'!C6,'E Social Responsibility'!E54&lt;&gt;'Language table'!C6,'E Social Responsibility'!E58&lt;&gt;'Language table'!C6),"Dealbreaker","All dealbreaker passed")</f>
        <v>Dealbreaker</v>
      </c>
    </row>
    <row r="5" spans="1:25" ht="13.5" thickBot="1">
      <c r="A5" s="1" t="s">
        <v>168</v>
      </c>
      <c r="B5" s="1" t="str">
        <f t="shared" si="1"/>
        <v>Please select!</v>
      </c>
      <c r="C5" t="str">
        <f>HLOOKUP(Language,Translation,106)</f>
        <v>Regularly</v>
      </c>
      <c r="D5" t="str">
        <f>HLOOKUP(Language,Translation,107)</f>
        <v>Partially</v>
      </c>
      <c r="E5" t="str">
        <f>HLOOKUP(Language,Translation,108)</f>
        <v>Currently not</v>
      </c>
    </row>
    <row r="6" spans="1:25" ht="13.5" thickBot="1">
      <c r="A6" s="1" t="s">
        <v>227</v>
      </c>
      <c r="B6" s="1" t="str">
        <f t="shared" si="1"/>
        <v>Please select!</v>
      </c>
      <c r="C6" s="21" t="str">
        <f>HLOOKUP(Language,Translation,23)</f>
        <v>Yes</v>
      </c>
      <c r="D6" t="str">
        <f>HLOOKUP(Language,Translation,107)</f>
        <v>Partially</v>
      </c>
      <c r="E6" s="1" t="str">
        <f>HLOOKUP(Language,Translation,24)</f>
        <v>No</v>
      </c>
      <c r="G6" s="1035" t="s">
        <v>1569</v>
      </c>
      <c r="H6" s="1035"/>
      <c r="I6" s="1035"/>
      <c r="J6" s="1035"/>
      <c r="K6">
        <f>COUNTIF('F Supplier Approval Form'!E27:F30,'Language table'!C4)</f>
        <v>0</v>
      </c>
      <c r="N6" s="1033" t="str">
        <f>IF(AND(N4="The total number of points is sufficient.",O4="All dealbreaker passed"),HLOOKUP(Language,Translation,243),HLOOKUP(Language,Translation,244))</f>
        <v>Social Responsibility Check not passed</v>
      </c>
      <c r="O6" s="1034"/>
    </row>
    <row r="7" spans="1:25">
      <c r="A7" s="1" t="s">
        <v>229</v>
      </c>
      <c r="B7" s="1" t="str">
        <f t="shared" si="1"/>
        <v>Please select!</v>
      </c>
      <c r="C7" s="21" t="str">
        <f>HLOOKUP(Language,Translation,222)</f>
        <v>red</v>
      </c>
      <c r="D7" s="21" t="str">
        <f>HLOOKUP(Language,Translation,213)</f>
        <v>yellow</v>
      </c>
      <c r="E7" t="str">
        <f>HLOOKUP(Language,Translation,214)</f>
        <v>green</v>
      </c>
      <c r="N7" s="242"/>
      <c r="O7" s="242"/>
    </row>
    <row r="8" spans="1:25" ht="25.5">
      <c r="A8" s="1" t="s">
        <v>636</v>
      </c>
      <c r="B8" s="1" t="str">
        <f t="shared" si="1"/>
        <v>Please select!</v>
      </c>
      <c r="C8" s="21" t="str">
        <f>IF('F Supplier Approval Form'!C66=HLOOKUP(Language,Translation,273),"",HLOOKUP(Language,Translation,232))</f>
        <v/>
      </c>
      <c r="D8" s="21" t="str">
        <f>HLOOKUP(Language,Translation,233)</f>
        <v>Conditionally Approved</v>
      </c>
      <c r="E8" t="str">
        <f>HLOOKUP(Language,Translation,234)</f>
        <v>Not Approved</v>
      </c>
      <c r="N8" s="242"/>
      <c r="O8" s="242"/>
    </row>
    <row r="9" spans="1:25">
      <c r="A9" s="1" t="s">
        <v>1727</v>
      </c>
      <c r="B9" s="1" t="str">
        <f t="shared" si="1"/>
        <v>Please select!</v>
      </c>
      <c r="C9" s="21" t="str">
        <f>HLOOKUP(Language,Translation,23)</f>
        <v>Yes</v>
      </c>
      <c r="D9" s="1" t="str">
        <f>HLOOKUP(Language,Translation,24)</f>
        <v>No</v>
      </c>
      <c r="E9" s="1" t="s">
        <v>1726</v>
      </c>
      <c r="N9" s="242"/>
      <c r="O9" s="242"/>
    </row>
    <row r="10" spans="1:25">
      <c r="F10" s="1"/>
      <c r="G10" s="1"/>
      <c r="H10" s="1"/>
    </row>
    <row r="11" spans="1:25">
      <c r="B11" s="1" t="s">
        <v>119</v>
      </c>
      <c r="D11" s="1"/>
      <c r="F11" s="1"/>
      <c r="G11" s="1"/>
      <c r="H11" s="1"/>
      <c r="I11" s="1"/>
      <c r="J11" s="1"/>
      <c r="K11" s="1"/>
      <c r="L11" t="s">
        <v>408</v>
      </c>
      <c r="R11" s="1" t="s">
        <v>664</v>
      </c>
      <c r="W11" s="214" t="s">
        <v>1383</v>
      </c>
    </row>
    <row r="12" spans="1:25">
      <c r="A12" s="3">
        <v>1</v>
      </c>
      <c r="B12" s="2" t="s">
        <v>1262</v>
      </c>
      <c r="C12" s="2" t="s">
        <v>1263</v>
      </c>
      <c r="E12" t="s">
        <v>122</v>
      </c>
      <c r="G12" s="1" t="s">
        <v>405</v>
      </c>
      <c r="H12" s="1"/>
      <c r="I12" s="1"/>
      <c r="J12" s="1"/>
      <c r="K12" s="1"/>
      <c r="L12" s="1" t="str">
        <f>$B$3</f>
        <v>Please select!</v>
      </c>
      <c r="R12" s="1" t="str">
        <f>$B$3</f>
        <v>Please select!</v>
      </c>
      <c r="U12" s="1" t="str">
        <f>$B$3</f>
        <v>Please select!</v>
      </c>
      <c r="W12" s="1" t="str">
        <f>$B$3</f>
        <v>Please select!</v>
      </c>
      <c r="X12" s="213" t="s">
        <v>1881</v>
      </c>
      <c r="Y12" s="213" t="s">
        <v>1384</v>
      </c>
    </row>
    <row r="13" spans="1:25">
      <c r="A13" s="2">
        <v>2</v>
      </c>
      <c r="B13" s="1" t="s">
        <v>128</v>
      </c>
      <c r="C13" s="4" t="s">
        <v>0</v>
      </c>
      <c r="E13" s="1" t="str">
        <f>$B$3</f>
        <v>Please select!</v>
      </c>
      <c r="F13" s="219"/>
      <c r="G13" s="220" t="s">
        <v>124</v>
      </c>
      <c r="H13" s="220" t="s">
        <v>125</v>
      </c>
      <c r="I13" s="220" t="s">
        <v>126</v>
      </c>
      <c r="J13" s="221" t="s">
        <v>127</v>
      </c>
      <c r="K13" s="4"/>
      <c r="L13" t="str">
        <f>HLOOKUP(Language,Translation,288)</f>
        <v>No further TC</v>
      </c>
      <c r="N13" s="3" t="str">
        <f>B12</f>
        <v>DE</v>
      </c>
      <c r="O13" s="2" t="str">
        <f>C12</f>
        <v>EN</v>
      </c>
      <c r="P13" s="3">
        <v>1</v>
      </c>
      <c r="R13" s="166" t="s">
        <v>666</v>
      </c>
      <c r="S13" s="166" t="s">
        <v>667</v>
      </c>
      <c r="T13" s="166" t="s">
        <v>668</v>
      </c>
      <c r="U13" t="str">
        <f t="shared" ref="U13:U44" si="2">CONCATENATE(R13&amp;" "&amp;IF(Language=$B$12,S13,T13))</f>
        <v>EUR European Euro</v>
      </c>
      <c r="W13" s="263" t="s">
        <v>1385</v>
      </c>
      <c r="X13" s="264">
        <v>20</v>
      </c>
      <c r="Y13" s="265">
        <v>0</v>
      </c>
    </row>
    <row r="14" spans="1:25">
      <c r="A14" s="2">
        <v>3</v>
      </c>
      <c r="B14" s="1" t="s">
        <v>1707</v>
      </c>
      <c r="C14" s="1" t="s">
        <v>123</v>
      </c>
      <c r="E14" t="s">
        <v>129</v>
      </c>
      <c r="F14" s="222" t="str">
        <f>'F Supplier Approval Form'!A25</f>
        <v>T.PU.005 Supplier Self-Assessment</v>
      </c>
      <c r="G14" s="141" t="s">
        <v>277</v>
      </c>
      <c r="H14" s="141" t="s">
        <v>277</v>
      </c>
      <c r="I14" s="141" t="s">
        <v>277</v>
      </c>
      <c r="J14" s="223" t="s">
        <v>277</v>
      </c>
      <c r="K14" s="4"/>
      <c r="L14" t="str">
        <f>M14&amp;" "&amp;HLOOKUP(Language,TCname,P14)</f>
        <v>TCAB0000 Ball Joints / Stabi Links</v>
      </c>
      <c r="M14" s="1" t="s">
        <v>409</v>
      </c>
      <c r="N14" s="192" t="s">
        <v>534</v>
      </c>
      <c r="O14" s="1" t="s">
        <v>410</v>
      </c>
      <c r="P14" s="3">
        <v>2</v>
      </c>
      <c r="R14" s="166" t="s">
        <v>669</v>
      </c>
      <c r="S14" s="166" t="s">
        <v>670</v>
      </c>
      <c r="T14" s="166" t="s">
        <v>671</v>
      </c>
      <c r="U14" t="str">
        <f t="shared" si="2"/>
        <v>USD United States Dollar</v>
      </c>
      <c r="W14" s="263" t="s">
        <v>1386</v>
      </c>
      <c r="X14" s="264">
        <v>16</v>
      </c>
      <c r="Y14" s="265"/>
    </row>
    <row r="15" spans="1:25" ht="12.75" customHeight="1">
      <c r="A15" s="2">
        <v>4</v>
      </c>
      <c r="B15" s="1" t="s">
        <v>138</v>
      </c>
      <c r="C15" s="4" t="s">
        <v>2</v>
      </c>
      <c r="E15" t="s">
        <v>130</v>
      </c>
      <c r="F15" s="222" t="str">
        <f>'F Supplier Approval Form'!A26</f>
        <v>VDA 6.3 Potential Analysis P1  (self-audit)</v>
      </c>
      <c r="G15" s="141" t="s">
        <v>277</v>
      </c>
      <c r="H15" s="141" t="s">
        <v>278</v>
      </c>
      <c r="I15" s="141" t="s">
        <v>279</v>
      </c>
      <c r="J15" s="223" t="s">
        <v>279</v>
      </c>
      <c r="L15" t="str">
        <f t="shared" ref="L15:L45" si="3">M15&amp;" "&amp;HLOOKUP(Language,TCname,P15)</f>
        <v>TCACF000 Casting (Ferrous)</v>
      </c>
      <c r="M15" s="1" t="s">
        <v>411</v>
      </c>
      <c r="N15" s="192" t="s">
        <v>544</v>
      </c>
      <c r="O15" s="1" t="s">
        <v>412</v>
      </c>
      <c r="P15" s="3">
        <v>3</v>
      </c>
      <c r="R15" s="166" t="s">
        <v>672</v>
      </c>
      <c r="S15" s="166" t="s">
        <v>673</v>
      </c>
      <c r="T15" s="166" t="s">
        <v>674</v>
      </c>
      <c r="U15" t="str">
        <f t="shared" si="2"/>
        <v>CNY Chinese Renminbi</v>
      </c>
      <c r="W15" s="266" t="s">
        <v>1387</v>
      </c>
      <c r="X15" s="267">
        <v>104</v>
      </c>
      <c r="Y15" s="268">
        <v>1</v>
      </c>
    </row>
    <row r="16" spans="1:25">
      <c r="A16" s="2">
        <v>5</v>
      </c>
      <c r="B16" s="1" t="s">
        <v>182</v>
      </c>
      <c r="C16" s="4" t="s">
        <v>147</v>
      </c>
      <c r="E16" t="s">
        <v>131</v>
      </c>
      <c r="F16" s="222" t="str">
        <f>'F Supplier Approval Form'!B27</f>
        <v>IATF 16949</v>
      </c>
      <c r="G16" s="141" t="s">
        <v>277</v>
      </c>
      <c r="H16" s="141" t="s">
        <v>278</v>
      </c>
      <c r="I16" s="141" t="s">
        <v>279</v>
      </c>
      <c r="J16" s="223" t="s">
        <v>279</v>
      </c>
      <c r="L16" t="str">
        <f t="shared" si="3"/>
        <v>TCACI000 Investment Casting</v>
      </c>
      <c r="M16" s="1" t="s">
        <v>413</v>
      </c>
      <c r="N16" s="192" t="s">
        <v>546</v>
      </c>
      <c r="O16" s="1" t="s">
        <v>414</v>
      </c>
      <c r="P16" s="3">
        <v>4</v>
      </c>
      <c r="R16" s="166" t="s">
        <v>675</v>
      </c>
      <c r="S16" s="166" t="s">
        <v>676</v>
      </c>
      <c r="T16" s="166" t="s">
        <v>677</v>
      </c>
      <c r="U16" t="str">
        <f t="shared" si="2"/>
        <v>ADP Andoran peseta</v>
      </c>
      <c r="W16" s="266" t="s">
        <v>1388</v>
      </c>
      <c r="X16" s="267">
        <v>76</v>
      </c>
      <c r="Y16" s="268">
        <v>1</v>
      </c>
    </row>
    <row r="17" spans="1:25">
      <c r="A17" s="2">
        <v>6</v>
      </c>
      <c r="B17" s="1" t="s">
        <v>145</v>
      </c>
      <c r="C17" s="4" t="s">
        <v>3</v>
      </c>
      <c r="F17" s="222" t="str">
        <f>'F Supplier Approval Form'!B28</f>
        <v>VDA 6.1</v>
      </c>
      <c r="G17" s="141" t="s">
        <v>278</v>
      </c>
      <c r="H17" s="141" t="s">
        <v>278</v>
      </c>
      <c r="I17" s="141" t="s">
        <v>279</v>
      </c>
      <c r="J17" s="223" t="s">
        <v>279</v>
      </c>
      <c r="L17" t="str">
        <f t="shared" si="3"/>
        <v>TCACN000 Castings (Non-Ferrous)</v>
      </c>
      <c r="M17" s="1" t="s">
        <v>415</v>
      </c>
      <c r="N17" s="192" t="s">
        <v>545</v>
      </c>
      <c r="O17" s="1" t="s">
        <v>416</v>
      </c>
      <c r="P17" s="3">
        <v>5</v>
      </c>
      <c r="R17" s="166" t="s">
        <v>678</v>
      </c>
      <c r="S17" s="166" t="s">
        <v>679</v>
      </c>
      <c r="T17" s="166" t="s">
        <v>680</v>
      </c>
      <c r="U17" t="str">
        <f t="shared" si="2"/>
        <v>AED United Arab Emirates Dirham</v>
      </c>
      <c r="W17" s="263" t="s">
        <v>1873</v>
      </c>
      <c r="X17" s="264">
        <v>41</v>
      </c>
      <c r="Y17" s="265">
        <v>0</v>
      </c>
    </row>
    <row r="18" spans="1:25">
      <c r="A18" s="2">
        <v>7</v>
      </c>
      <c r="B18" s="1" t="s">
        <v>144</v>
      </c>
      <c r="C18" s="4" t="s">
        <v>5</v>
      </c>
      <c r="F18" s="222" t="str">
        <f>'F Supplier Approval Form'!B29</f>
        <v>ISO 9001</v>
      </c>
      <c r="G18" s="141" t="s">
        <v>278</v>
      </c>
      <c r="H18" s="141" t="str">
        <f>IF(Lab='Language table'!C4,"(x)","x")</f>
        <v>x</v>
      </c>
      <c r="I18" s="141" t="s">
        <v>277</v>
      </c>
      <c r="J18" s="223" t="s">
        <v>278</v>
      </c>
      <c r="K18" s="4"/>
      <c r="L18" t="str">
        <f t="shared" si="3"/>
        <v>TCAFF000 Forgings, Ferrous</v>
      </c>
      <c r="M18" s="1" t="s">
        <v>417</v>
      </c>
      <c r="N18" s="192" t="s">
        <v>547</v>
      </c>
      <c r="O18" s="1" t="s">
        <v>418</v>
      </c>
      <c r="P18" s="3">
        <v>6</v>
      </c>
      <c r="R18" s="166" t="s">
        <v>681</v>
      </c>
      <c r="S18" s="166" t="s">
        <v>682</v>
      </c>
      <c r="T18" s="166" t="s">
        <v>682</v>
      </c>
      <c r="U18" t="str">
        <f t="shared" si="2"/>
        <v>AFA Afghani</v>
      </c>
      <c r="W18" s="263" t="s">
        <v>1390</v>
      </c>
      <c r="X18" s="264">
        <v>2</v>
      </c>
      <c r="Y18" s="265">
        <v>0</v>
      </c>
    </row>
    <row r="19" spans="1:25">
      <c r="A19" s="2">
        <v>8</v>
      </c>
      <c r="B19" s="4" t="s">
        <v>140</v>
      </c>
      <c r="C19" s="4" t="s">
        <v>6</v>
      </c>
      <c r="E19" s="1" t="s">
        <v>1795</v>
      </c>
      <c r="F19" s="222" t="str">
        <f>'F Supplier Approval Form'!B30</f>
        <v>ISO 17025 (only Laboratory)</v>
      </c>
      <c r="G19" s="141" t="s">
        <v>279</v>
      </c>
      <c r="H19" s="141" t="str">
        <f>IF(Lab='Language table'!C4,"x","-")</f>
        <v>-</v>
      </c>
      <c r="I19" s="141" t="s">
        <v>279</v>
      </c>
      <c r="J19" s="223" t="s">
        <v>279</v>
      </c>
      <c r="L19" t="str">
        <f t="shared" si="3"/>
        <v>TCAFN000 Forgings, Aluminum</v>
      </c>
      <c r="M19" s="1" t="s">
        <v>419</v>
      </c>
      <c r="N19" s="192" t="s">
        <v>1264</v>
      </c>
      <c r="O19" s="1" t="s">
        <v>420</v>
      </c>
      <c r="P19" s="3">
        <v>7</v>
      </c>
      <c r="R19" s="166" t="s">
        <v>683</v>
      </c>
      <c r="S19" s="166" t="s">
        <v>684</v>
      </c>
      <c r="T19" s="166" t="s">
        <v>685</v>
      </c>
      <c r="U19" t="str">
        <f t="shared" si="2"/>
        <v>ALL Albanian Lek</v>
      </c>
      <c r="W19" s="263" t="s">
        <v>1391</v>
      </c>
      <c r="X19" s="264">
        <v>20</v>
      </c>
      <c r="Y19" s="265">
        <v>0</v>
      </c>
    </row>
    <row r="20" spans="1:25">
      <c r="A20" s="2">
        <v>9</v>
      </c>
      <c r="B20" s="1" t="s">
        <v>143</v>
      </c>
      <c r="C20" s="4" t="s">
        <v>110</v>
      </c>
      <c r="E20" s="1" t="str">
        <f>$B$3</f>
        <v>Please select!</v>
      </c>
      <c r="F20" s="222" t="str">
        <f>'F Supplier Approval Form'!B31</f>
        <v>Cyber Security:</v>
      </c>
      <c r="G20" s="141" t="s">
        <v>277</v>
      </c>
      <c r="H20" s="141" t="s">
        <v>277</v>
      </c>
      <c r="I20" s="141" t="s">
        <v>277</v>
      </c>
      <c r="J20" s="223" t="s">
        <v>277</v>
      </c>
      <c r="K20" s="4"/>
      <c r="L20" t="str">
        <f t="shared" si="3"/>
        <v>TCAMA000 Shock Absorbers</v>
      </c>
      <c r="M20" s="1" t="s">
        <v>421</v>
      </c>
      <c r="N20" s="192" t="s">
        <v>548</v>
      </c>
      <c r="O20" s="1" t="s">
        <v>422</v>
      </c>
      <c r="P20" s="3">
        <v>8</v>
      </c>
      <c r="R20" s="166" t="s">
        <v>686</v>
      </c>
      <c r="S20" s="166" t="s">
        <v>687</v>
      </c>
      <c r="T20" s="166" t="s">
        <v>688</v>
      </c>
      <c r="U20" t="str">
        <f t="shared" si="2"/>
        <v>AMD Armenian Dram</v>
      </c>
      <c r="W20" s="263" t="s">
        <v>1392</v>
      </c>
      <c r="X20" s="264">
        <v>9</v>
      </c>
      <c r="Y20" s="265">
        <v>0</v>
      </c>
    </row>
    <row r="21" spans="1:25">
      <c r="A21" s="2">
        <v>10</v>
      </c>
      <c r="B21" s="4" t="s">
        <v>1582</v>
      </c>
      <c r="C21" s="4" t="s">
        <v>1712</v>
      </c>
      <c r="E21" t="str">
        <f>HLOOKUP(Language,Translation,300)</f>
        <v>DBP - Directed buy parts</v>
      </c>
      <c r="F21" s="222" t="str">
        <f>'F Supplier Approval Form'!A34</f>
        <v>BENTELER General Supply Contract / BENTELER General Terms and Conditions</v>
      </c>
      <c r="G21" s="141" t="s">
        <v>277</v>
      </c>
      <c r="H21" s="141" t="s">
        <v>277</v>
      </c>
      <c r="I21" s="141" t="s">
        <v>277</v>
      </c>
      <c r="J21" s="223" t="s">
        <v>277</v>
      </c>
      <c r="L21" t="str">
        <f t="shared" si="3"/>
        <v>TCAMAT000 Transmission</v>
      </c>
      <c r="M21" s="1" t="s">
        <v>423</v>
      </c>
      <c r="N21" s="192" t="s">
        <v>554</v>
      </c>
      <c r="O21" s="1" t="s">
        <v>424</v>
      </c>
      <c r="P21" s="3">
        <v>9</v>
      </c>
      <c r="R21" s="166" t="s">
        <v>689</v>
      </c>
      <c r="S21" s="166" t="s">
        <v>690</v>
      </c>
      <c r="T21" s="166" t="s">
        <v>691</v>
      </c>
      <c r="U21" t="str">
        <f t="shared" si="2"/>
        <v>ANG West Indian Guilder</v>
      </c>
      <c r="W21" s="266" t="s">
        <v>1393</v>
      </c>
      <c r="X21" s="267">
        <v>76</v>
      </c>
      <c r="Y21" s="268">
        <v>1</v>
      </c>
    </row>
    <row r="22" spans="1:25">
      <c r="A22" s="2">
        <v>11</v>
      </c>
      <c r="B22" s="1" t="s">
        <v>139</v>
      </c>
      <c r="C22" s="4" t="s">
        <v>7</v>
      </c>
      <c r="E22" t="str">
        <f>HLOOKUP(Language,Translation,301)</f>
        <v>LT - Limited time</v>
      </c>
      <c r="F22" s="222" t="str">
        <f>'F Supplier Approval Form'!A35</f>
        <v>Proof of Insurance</v>
      </c>
      <c r="G22" s="141" t="s">
        <v>277</v>
      </c>
      <c r="H22" s="141" t="s">
        <v>277</v>
      </c>
      <c r="I22" s="141" t="s">
        <v>277</v>
      </c>
      <c r="J22" s="223" t="s">
        <v>277</v>
      </c>
      <c r="K22" s="4"/>
      <c r="L22" t="str">
        <f t="shared" si="3"/>
        <v>TCAMB000 Brakes &amp; Accessories</v>
      </c>
      <c r="M22" s="1" t="s">
        <v>425</v>
      </c>
      <c r="N22" s="192" t="s">
        <v>549</v>
      </c>
      <c r="O22" s="1" t="s">
        <v>426</v>
      </c>
      <c r="P22" s="3">
        <v>10</v>
      </c>
      <c r="R22" s="166" t="s">
        <v>692</v>
      </c>
      <c r="S22" s="166" t="s">
        <v>693</v>
      </c>
      <c r="T22" s="166" t="s">
        <v>694</v>
      </c>
      <c r="U22" t="str">
        <f t="shared" si="2"/>
        <v>AON Angolan New Kwanza</v>
      </c>
      <c r="W22" s="266" t="s">
        <v>1394</v>
      </c>
      <c r="X22" s="267">
        <v>93</v>
      </c>
      <c r="Y22" s="268">
        <v>1</v>
      </c>
    </row>
    <row r="23" spans="1:25">
      <c r="A23" s="2">
        <v>12</v>
      </c>
      <c r="B23" s="4" t="s">
        <v>240</v>
      </c>
      <c r="C23" s="1" t="s">
        <v>1278</v>
      </c>
      <c r="E23" t="str">
        <f>HLOOKUP(Language,Translation,302)</f>
        <v>PR - Project restricted</v>
      </c>
      <c r="F23" s="222" t="str">
        <f>'F Supplier Approval Form'!A37</f>
        <v>BENTELER Supplier Quality Requirement</v>
      </c>
      <c r="G23" s="141" t="s">
        <v>277</v>
      </c>
      <c r="H23" s="141" t="s">
        <v>1570</v>
      </c>
      <c r="I23" s="141" t="s">
        <v>278</v>
      </c>
      <c r="J23" s="223" t="s">
        <v>279</v>
      </c>
      <c r="L23" t="str">
        <f t="shared" si="3"/>
        <v>TCAMB001 Brake Pipe / Brake Hose</v>
      </c>
      <c r="M23" s="1" t="s">
        <v>427</v>
      </c>
      <c r="N23" s="20" t="s">
        <v>582</v>
      </c>
      <c r="O23" s="1" t="s">
        <v>428</v>
      </c>
      <c r="P23" s="3">
        <v>11</v>
      </c>
      <c r="R23" s="166" t="s">
        <v>695</v>
      </c>
      <c r="S23" s="166" t="s">
        <v>696</v>
      </c>
      <c r="T23" s="166" t="s">
        <v>697</v>
      </c>
      <c r="U23" t="str">
        <f t="shared" si="2"/>
        <v>AOR Angolan Kwanza Reajustado</v>
      </c>
      <c r="W23" s="263" t="s">
        <v>1395</v>
      </c>
      <c r="X23" s="264">
        <v>16</v>
      </c>
      <c r="Y23" s="265">
        <v>0</v>
      </c>
    </row>
    <row r="24" spans="1:25">
      <c r="A24" s="2">
        <v>13</v>
      </c>
      <c r="B24" s="1" t="s">
        <v>141</v>
      </c>
      <c r="C24" s="4" t="s">
        <v>4</v>
      </c>
      <c r="E24" t="str">
        <f>HLOOKUP(Language,Translation,303)</f>
        <v>SA - Special approval</v>
      </c>
      <c r="F24" s="222" t="str">
        <f>'F Supplier Approval Form'!A39</f>
        <v xml:space="preserve">Risk Assessment </v>
      </c>
      <c r="G24" s="141" t="s">
        <v>277</v>
      </c>
      <c r="H24" s="141" t="s">
        <v>1572</v>
      </c>
      <c r="I24" s="141" t="s">
        <v>278</v>
      </c>
      <c r="J24" s="223" t="s">
        <v>278</v>
      </c>
      <c r="K24" s="4"/>
      <c r="L24" t="str">
        <f t="shared" si="3"/>
        <v>TCAMC000 Steering Systems</v>
      </c>
      <c r="M24" s="1" t="s">
        <v>429</v>
      </c>
      <c r="N24" s="192" t="s">
        <v>550</v>
      </c>
      <c r="O24" s="1" t="s">
        <v>430</v>
      </c>
      <c r="P24" s="3">
        <v>12</v>
      </c>
      <c r="R24" s="166" t="s">
        <v>698</v>
      </c>
      <c r="S24" s="166" t="s">
        <v>699</v>
      </c>
      <c r="T24" s="166" t="s">
        <v>700</v>
      </c>
      <c r="U24" t="str">
        <f t="shared" si="2"/>
        <v>ARS Argentine Peso</v>
      </c>
      <c r="W24" s="266" t="s">
        <v>1396</v>
      </c>
      <c r="X24" s="267">
        <v>126</v>
      </c>
      <c r="Y24" s="268">
        <v>1</v>
      </c>
    </row>
    <row r="25" spans="1:25">
      <c r="A25" s="2">
        <v>14</v>
      </c>
      <c r="B25" s="1" t="s">
        <v>151</v>
      </c>
      <c r="C25" s="4" t="s">
        <v>149</v>
      </c>
      <c r="E25" t="str">
        <f>HLOOKUP(Language,Translation,304)</f>
        <v>PT - only for Prototypes</v>
      </c>
      <c r="F25" s="222" t="str">
        <f>'F Supplier Approval Form'!A40</f>
        <v xml:space="preserve">Supplier Logistic Manual </v>
      </c>
      <c r="G25" s="141" t="s">
        <v>277</v>
      </c>
      <c r="H25" s="141" t="s">
        <v>1571</v>
      </c>
      <c r="I25" s="141" t="s">
        <v>279</v>
      </c>
      <c r="J25" s="223" t="s">
        <v>279</v>
      </c>
      <c r="L25" t="str">
        <f t="shared" si="3"/>
        <v>TCAMD000 Drive Shafts</v>
      </c>
      <c r="M25" s="1" t="s">
        <v>431</v>
      </c>
      <c r="N25" s="192" t="s">
        <v>551</v>
      </c>
      <c r="O25" s="1" t="s">
        <v>432</v>
      </c>
      <c r="P25" s="3">
        <v>13</v>
      </c>
      <c r="R25" s="166" t="s">
        <v>701</v>
      </c>
      <c r="S25" s="166" t="s">
        <v>702</v>
      </c>
      <c r="T25" s="166" t="s">
        <v>703</v>
      </c>
      <c r="U25" t="str">
        <f t="shared" si="2"/>
        <v>ATS Austrian Schilling</v>
      </c>
      <c r="W25" s="263" t="s">
        <v>1397</v>
      </c>
      <c r="X25" s="264">
        <v>4</v>
      </c>
      <c r="Y25" s="265">
        <v>0</v>
      </c>
    </row>
    <row r="26" spans="1:25">
      <c r="A26" s="2">
        <v>15</v>
      </c>
      <c r="B26" s="1" t="s">
        <v>152</v>
      </c>
      <c r="C26" s="1" t="s">
        <v>150</v>
      </c>
      <c r="F26" s="222" t="str">
        <f>'F Supplier Approval Form'!A41</f>
        <v>PSCR / Product Safety and Conformity Representative</v>
      </c>
      <c r="G26" s="141" t="s">
        <v>623</v>
      </c>
      <c r="H26" s="141" t="s">
        <v>279</v>
      </c>
      <c r="I26" s="141" t="s">
        <v>279</v>
      </c>
      <c r="J26" s="223" t="s">
        <v>279</v>
      </c>
      <c r="L26" t="str">
        <f t="shared" si="3"/>
        <v>TCAMF000 ZSB Modul Components</v>
      </c>
      <c r="M26" s="1" t="s">
        <v>433</v>
      </c>
      <c r="N26" s="192" t="s">
        <v>552</v>
      </c>
      <c r="O26" s="1" t="s">
        <v>434</v>
      </c>
      <c r="P26" s="3">
        <v>14</v>
      </c>
      <c r="R26" s="166" t="s">
        <v>704</v>
      </c>
      <c r="S26" s="166" t="s">
        <v>705</v>
      </c>
      <c r="T26" s="166" t="s">
        <v>706</v>
      </c>
      <c r="U26" t="str">
        <f t="shared" si="2"/>
        <v>AUD Australian Dollar</v>
      </c>
      <c r="W26" s="263" t="s">
        <v>1398</v>
      </c>
      <c r="X26" s="264">
        <v>47</v>
      </c>
      <c r="Y26" s="265">
        <v>0</v>
      </c>
    </row>
    <row r="27" spans="1:25">
      <c r="A27" s="2">
        <v>16</v>
      </c>
      <c r="B27" s="1" t="s">
        <v>142</v>
      </c>
      <c r="C27" s="4" t="s">
        <v>241</v>
      </c>
      <c r="F27" s="254" t="str">
        <f>'F Supplier Approval Form'!A43</f>
        <v>Business Partner Check</v>
      </c>
      <c r="G27" s="141" t="s">
        <v>277</v>
      </c>
      <c r="H27" s="141" t="s">
        <v>277</v>
      </c>
      <c r="I27" s="141" t="s">
        <v>277</v>
      </c>
      <c r="J27" s="223" t="s">
        <v>277</v>
      </c>
      <c r="L27" t="str">
        <f t="shared" si="3"/>
        <v>TCAMS000 Springs &amp; Stabilizers</v>
      </c>
      <c r="M27" s="1" t="s">
        <v>435</v>
      </c>
      <c r="N27" s="192" t="s">
        <v>553</v>
      </c>
      <c r="O27" s="1" t="s">
        <v>436</v>
      </c>
      <c r="P27" s="3">
        <v>15</v>
      </c>
      <c r="R27" s="166" t="s">
        <v>707</v>
      </c>
      <c r="S27" s="166" t="s">
        <v>708</v>
      </c>
      <c r="T27" s="166" t="s">
        <v>709</v>
      </c>
      <c r="U27" t="str">
        <f t="shared" si="2"/>
        <v>AWG Aruban Guilder</v>
      </c>
      <c r="W27" s="263" t="s">
        <v>1399</v>
      </c>
      <c r="X27" s="264">
        <v>34</v>
      </c>
      <c r="Y27" s="265">
        <v>0</v>
      </c>
    </row>
    <row r="28" spans="1:25" ht="12.75" customHeight="1">
      <c r="A28" s="2">
        <v>17</v>
      </c>
      <c r="B28" s="1" t="s">
        <v>1244</v>
      </c>
      <c r="C28" s="4" t="s">
        <v>1245</v>
      </c>
      <c r="F28" s="255" t="s">
        <v>1809</v>
      </c>
      <c r="G28" s="224" t="s">
        <v>277</v>
      </c>
      <c r="H28" s="224" t="s">
        <v>279</v>
      </c>
      <c r="I28" s="224" t="s">
        <v>279</v>
      </c>
      <c r="J28" s="225" t="s">
        <v>279</v>
      </c>
      <c r="L28" t="str">
        <f t="shared" si="3"/>
        <v>TCAMW000 Bearings</v>
      </c>
      <c r="M28" s="1" t="s">
        <v>437</v>
      </c>
      <c r="N28" s="192" t="s">
        <v>555</v>
      </c>
      <c r="O28" s="1" t="s">
        <v>438</v>
      </c>
      <c r="P28" s="3">
        <v>16</v>
      </c>
      <c r="R28" s="166" t="s">
        <v>710</v>
      </c>
      <c r="S28" s="166" t="s">
        <v>711</v>
      </c>
      <c r="T28" s="166" t="s">
        <v>712</v>
      </c>
      <c r="U28" t="str">
        <f t="shared" si="2"/>
        <v>AZM Azerbaijan Manat</v>
      </c>
      <c r="W28" s="269" t="s">
        <v>1400</v>
      </c>
      <c r="X28" s="270">
        <v>141</v>
      </c>
      <c r="Y28" s="271">
        <v>100</v>
      </c>
    </row>
    <row r="29" spans="1:25" ht="13.5" customHeight="1">
      <c r="A29" s="2">
        <v>18</v>
      </c>
      <c r="B29" s="1" t="s">
        <v>183</v>
      </c>
      <c r="C29" s="4" t="s">
        <v>146</v>
      </c>
      <c r="E29" t="s">
        <v>638</v>
      </c>
      <c r="L29" t="str">
        <f t="shared" si="3"/>
        <v>TCAP0000 Plastics, Rubber</v>
      </c>
      <c r="M29" s="1" t="s">
        <v>439</v>
      </c>
      <c r="N29" s="192" t="s">
        <v>1265</v>
      </c>
      <c r="O29" s="1" t="s">
        <v>440</v>
      </c>
      <c r="P29" s="3">
        <v>17</v>
      </c>
      <c r="R29" s="166" t="s">
        <v>713</v>
      </c>
      <c r="S29" s="166" t="s">
        <v>714</v>
      </c>
      <c r="T29" s="166" t="s">
        <v>714</v>
      </c>
      <c r="U29" t="str">
        <f t="shared" si="2"/>
        <v>BAM Bosnia and Herzegovina Convertible Mark</v>
      </c>
      <c r="W29" s="263" t="s">
        <v>1401</v>
      </c>
      <c r="X29" s="264">
        <v>47</v>
      </c>
      <c r="Y29" s="265">
        <v>0</v>
      </c>
    </row>
    <row r="30" spans="1:25">
      <c r="A30" s="2">
        <v>19</v>
      </c>
      <c r="B30" s="1" t="s">
        <v>242</v>
      </c>
      <c r="C30" s="1" t="s">
        <v>226</v>
      </c>
      <c r="E30" s="1" t="str">
        <f>$B$3</f>
        <v>Please select!</v>
      </c>
      <c r="L30" t="str">
        <f t="shared" si="3"/>
        <v>TCAR0000 Rubber-Metal</v>
      </c>
      <c r="M30" s="1" t="s">
        <v>441</v>
      </c>
      <c r="N30" s="192" t="s">
        <v>535</v>
      </c>
      <c r="O30" s="1" t="s">
        <v>442</v>
      </c>
      <c r="P30" s="3">
        <v>18</v>
      </c>
      <c r="R30" s="166" t="s">
        <v>715</v>
      </c>
      <c r="S30" s="166" t="s">
        <v>716</v>
      </c>
      <c r="T30" s="166" t="s">
        <v>717</v>
      </c>
      <c r="U30" t="str">
        <f t="shared" si="2"/>
        <v>BBD Barbados Dollar</v>
      </c>
      <c r="W30" s="266" t="s">
        <v>1402</v>
      </c>
      <c r="X30" s="267">
        <v>83</v>
      </c>
      <c r="Y30" s="268">
        <v>1</v>
      </c>
    </row>
    <row r="31" spans="1:25" ht="12.75" customHeight="1">
      <c r="A31" s="2">
        <v>20</v>
      </c>
      <c r="B31" s="1" t="s">
        <v>153</v>
      </c>
      <c r="C31" s="1" t="s">
        <v>148</v>
      </c>
      <c r="E31" t="str">
        <f>HLOOKUP(Language,Translation,280)</f>
        <v>Requirements fulfilled</v>
      </c>
      <c r="L31" t="str">
        <f t="shared" si="3"/>
        <v>TCCCM000 Machinery &amp; Equipment</v>
      </c>
      <c r="M31" s="1" t="s">
        <v>443</v>
      </c>
      <c r="N31" s="192" t="s">
        <v>564</v>
      </c>
      <c r="O31" s="1" t="s">
        <v>444</v>
      </c>
      <c r="P31" s="3">
        <v>19</v>
      </c>
      <c r="R31" s="166" t="s">
        <v>718</v>
      </c>
      <c r="S31" s="166" t="s">
        <v>719</v>
      </c>
      <c r="T31" s="166" t="s">
        <v>720</v>
      </c>
      <c r="U31" t="str">
        <f t="shared" si="2"/>
        <v>BDT Bangladesh Taka</v>
      </c>
      <c r="W31" s="263" t="s">
        <v>1834</v>
      </c>
      <c r="X31" s="264">
        <v>32</v>
      </c>
      <c r="Y31" s="265">
        <v>0</v>
      </c>
    </row>
    <row r="32" spans="1:25" ht="13.5" customHeight="1">
      <c r="A32" s="2">
        <v>21</v>
      </c>
      <c r="B32" s="1" t="s">
        <v>184</v>
      </c>
      <c r="C32" s="1" t="s">
        <v>184</v>
      </c>
      <c r="E32" t="str">
        <f>HLOOKUP(Language,Translation,281)</f>
        <v>Requirements conditionally fulfilled</v>
      </c>
      <c r="L32" t="str">
        <f t="shared" si="3"/>
        <v>TCCCT000 Measuring &amp; Test Equipment</v>
      </c>
      <c r="M32" s="1" t="s">
        <v>445</v>
      </c>
      <c r="N32" s="192" t="s">
        <v>565</v>
      </c>
      <c r="O32" s="1" t="s">
        <v>446</v>
      </c>
      <c r="P32" s="3">
        <v>20</v>
      </c>
      <c r="R32" s="166" t="s">
        <v>721</v>
      </c>
      <c r="S32" s="166" t="s">
        <v>722</v>
      </c>
      <c r="T32" s="166" t="s">
        <v>723</v>
      </c>
      <c r="U32" t="str">
        <f t="shared" si="2"/>
        <v>BEF Belgian Franc</v>
      </c>
      <c r="W32" s="263" t="s">
        <v>1403</v>
      </c>
      <c r="X32" s="264">
        <v>36</v>
      </c>
      <c r="Y32" s="265">
        <v>0</v>
      </c>
    </row>
    <row r="33" spans="1:25">
      <c r="A33" s="2">
        <v>22</v>
      </c>
      <c r="B33" s="1" t="s">
        <v>618</v>
      </c>
      <c r="C33" s="1" t="s">
        <v>618</v>
      </c>
      <c r="E33" t="str">
        <f>HLOOKUP(Language,Translation,282)</f>
        <v>Requirements not fulfilled</v>
      </c>
      <c r="L33" t="str">
        <f t="shared" si="3"/>
        <v>TCEE0000 Electrical Systems</v>
      </c>
      <c r="M33" s="1" t="s">
        <v>447</v>
      </c>
      <c r="N33" s="192" t="s">
        <v>536</v>
      </c>
      <c r="O33" s="1" t="s">
        <v>448</v>
      </c>
      <c r="P33" s="3">
        <v>21</v>
      </c>
      <c r="R33" s="166" t="s">
        <v>724</v>
      </c>
      <c r="S33" s="166" t="s">
        <v>725</v>
      </c>
      <c r="T33" s="166" t="s">
        <v>726</v>
      </c>
      <c r="U33" t="str">
        <f t="shared" si="2"/>
        <v>BGN Bulgarian Lev</v>
      </c>
      <c r="W33" s="263" t="s">
        <v>1404</v>
      </c>
      <c r="X33" s="264">
        <v>6</v>
      </c>
      <c r="Y33" s="265">
        <v>0</v>
      </c>
    </row>
    <row r="34" spans="1:25">
      <c r="A34" s="2">
        <v>23</v>
      </c>
      <c r="B34" s="1" t="s">
        <v>120</v>
      </c>
      <c r="C34" s="1" t="s">
        <v>12</v>
      </c>
      <c r="K34" s="5"/>
      <c r="L34" t="str">
        <f t="shared" si="3"/>
        <v>TCEEC000 Electronic Control Units</v>
      </c>
      <c r="M34" s="1" t="s">
        <v>449</v>
      </c>
      <c r="N34" s="192" t="s">
        <v>556</v>
      </c>
      <c r="O34" s="1" t="s">
        <v>450</v>
      </c>
      <c r="P34" s="3">
        <v>22</v>
      </c>
      <c r="R34" s="166" t="s">
        <v>727</v>
      </c>
      <c r="S34" s="166" t="s">
        <v>728</v>
      </c>
      <c r="T34" s="166" t="s">
        <v>729</v>
      </c>
      <c r="U34" t="str">
        <f t="shared" si="2"/>
        <v>BHD Bahrain Dinar</v>
      </c>
      <c r="W34" s="263" t="s">
        <v>1405</v>
      </c>
      <c r="X34" s="264">
        <v>6</v>
      </c>
      <c r="Y34" s="265">
        <v>0</v>
      </c>
    </row>
    <row r="35" spans="1:25">
      <c r="A35" s="2">
        <v>24</v>
      </c>
      <c r="B35" s="6" t="s">
        <v>121</v>
      </c>
      <c r="C35" s="6" t="s">
        <v>13</v>
      </c>
      <c r="L35" t="str">
        <f t="shared" si="3"/>
        <v>TCEEM000 Electric Motors</v>
      </c>
      <c r="M35" s="1" t="s">
        <v>451</v>
      </c>
      <c r="N35" s="192" t="s">
        <v>557</v>
      </c>
      <c r="O35" s="1" t="s">
        <v>452</v>
      </c>
      <c r="P35" s="3">
        <v>23</v>
      </c>
      <c r="R35" s="166" t="s">
        <v>730</v>
      </c>
      <c r="S35" s="166" t="s">
        <v>731</v>
      </c>
      <c r="T35" s="166" t="s">
        <v>732</v>
      </c>
      <c r="U35" t="str">
        <f t="shared" si="2"/>
        <v>BIF Burundi Franc</v>
      </c>
      <c r="W35" s="266" t="s">
        <v>1406</v>
      </c>
      <c r="X35" s="267">
        <v>108</v>
      </c>
      <c r="Y35" s="268">
        <v>1</v>
      </c>
    </row>
    <row r="36" spans="1:25">
      <c r="A36" s="2">
        <v>25</v>
      </c>
      <c r="B36" s="1" t="s">
        <v>1257</v>
      </c>
      <c r="C36" s="1" t="s">
        <v>1246</v>
      </c>
      <c r="E36" s="8" t="s">
        <v>1367</v>
      </c>
      <c r="L36" t="str">
        <f t="shared" si="3"/>
        <v>TCEWA000 Cutting</v>
      </c>
      <c r="M36" s="1" t="s">
        <v>453</v>
      </c>
      <c r="N36" s="192" t="s">
        <v>566</v>
      </c>
      <c r="O36" s="1" t="s">
        <v>454</v>
      </c>
      <c r="P36" s="3">
        <v>24</v>
      </c>
      <c r="R36" s="166" t="s">
        <v>733</v>
      </c>
      <c r="S36" s="166" t="s">
        <v>734</v>
      </c>
      <c r="T36" s="166" t="s">
        <v>735</v>
      </c>
      <c r="U36" t="str">
        <f t="shared" si="2"/>
        <v>BMD Bermudan Dollar</v>
      </c>
      <c r="W36" s="266" t="s">
        <v>1407</v>
      </c>
      <c r="X36" s="267">
        <v>115</v>
      </c>
      <c r="Y36" s="268">
        <v>1</v>
      </c>
    </row>
    <row r="37" spans="1:25">
      <c r="A37" s="2">
        <v>26</v>
      </c>
      <c r="B37" s="1" t="s">
        <v>1256</v>
      </c>
      <c r="C37" s="1" t="s">
        <v>185</v>
      </c>
      <c r="E37" s="1" t="str">
        <f>$B$3</f>
        <v>Please select!</v>
      </c>
      <c r="F37" s="2" t="str">
        <f>B12</f>
        <v>DE</v>
      </c>
      <c r="G37" s="2" t="str">
        <f>C12</f>
        <v>EN</v>
      </c>
      <c r="L37" t="str">
        <f t="shared" si="3"/>
        <v>TCEWG001 Service-Serial, Packaging, Labeling, Sorting</v>
      </c>
      <c r="M37" s="1" t="s">
        <v>455</v>
      </c>
      <c r="N37" s="192" t="s">
        <v>1266</v>
      </c>
      <c r="O37" s="1" t="s">
        <v>1267</v>
      </c>
      <c r="P37" s="3">
        <v>25</v>
      </c>
      <c r="R37" s="166" t="s">
        <v>736</v>
      </c>
      <c r="S37" s="166" t="s">
        <v>737</v>
      </c>
      <c r="T37" s="166" t="s">
        <v>737</v>
      </c>
      <c r="U37" t="str">
        <f t="shared" si="2"/>
        <v>BND Brunei Dollar</v>
      </c>
      <c r="W37" s="263" t="s">
        <v>1408</v>
      </c>
      <c r="X37" s="264">
        <v>20</v>
      </c>
      <c r="Y37" s="265">
        <v>0</v>
      </c>
    </row>
    <row r="38" spans="1:25">
      <c r="A38" s="2">
        <v>27</v>
      </c>
      <c r="B38" s="1" t="s">
        <v>1255</v>
      </c>
      <c r="C38" s="1" t="s">
        <v>186</v>
      </c>
      <c r="E38" s="1" t="str">
        <f>HLOOKUP(Language,Translation,24)</f>
        <v>No</v>
      </c>
      <c r="F38" t="s">
        <v>1222</v>
      </c>
      <c r="G38" s="1" t="s">
        <v>1216</v>
      </c>
      <c r="K38" s="8"/>
      <c r="L38" t="str">
        <f t="shared" si="3"/>
        <v>TCEWH000 Heat Treatment</v>
      </c>
      <c r="M38" s="1" t="s">
        <v>456</v>
      </c>
      <c r="N38" s="192" t="s">
        <v>567</v>
      </c>
      <c r="O38" s="1" t="s">
        <v>457</v>
      </c>
      <c r="P38" s="3">
        <v>26</v>
      </c>
      <c r="R38" s="166" t="s">
        <v>738</v>
      </c>
      <c r="S38" s="166" t="s">
        <v>739</v>
      </c>
      <c r="T38" s="166" t="s">
        <v>739</v>
      </c>
      <c r="U38" t="str">
        <f t="shared" si="2"/>
        <v>BOB Boliviano</v>
      </c>
      <c r="W38" s="263" t="s">
        <v>1409</v>
      </c>
      <c r="X38" s="264">
        <v>24</v>
      </c>
      <c r="Y38" s="265">
        <v>0</v>
      </c>
    </row>
    <row r="39" spans="1:25">
      <c r="A39" s="2">
        <v>28</v>
      </c>
      <c r="B39" s="1" t="s">
        <v>1254</v>
      </c>
      <c r="C39" s="1" t="s">
        <v>187</v>
      </c>
      <c r="E39" s="4" t="s">
        <v>1368</v>
      </c>
      <c r="F39" t="s">
        <v>1223</v>
      </c>
      <c r="G39" s="1" t="s">
        <v>1217</v>
      </c>
      <c r="K39" s="8"/>
      <c r="L39" t="str">
        <f t="shared" si="3"/>
        <v>TCEWM000 Machining</v>
      </c>
      <c r="M39" s="1" t="s">
        <v>458</v>
      </c>
      <c r="N39" s="192" t="s">
        <v>568</v>
      </c>
      <c r="O39" s="1" t="s">
        <v>1268</v>
      </c>
      <c r="P39" s="3">
        <v>27</v>
      </c>
      <c r="R39" s="166" t="s">
        <v>740</v>
      </c>
      <c r="S39" s="166" t="s">
        <v>741</v>
      </c>
      <c r="T39" s="166" t="s">
        <v>742</v>
      </c>
      <c r="U39" t="str">
        <f t="shared" si="2"/>
        <v>BRL Brazilian Real</v>
      </c>
      <c r="W39" s="211" t="s">
        <v>1410</v>
      </c>
      <c r="X39" s="212"/>
      <c r="Y39" s="272">
        <v>100</v>
      </c>
    </row>
    <row r="40" spans="1:25">
      <c r="A40" s="2">
        <v>29</v>
      </c>
      <c r="B40" s="1" t="s">
        <v>1613</v>
      </c>
      <c r="C40" s="1" t="s">
        <v>1590</v>
      </c>
      <c r="E40" s="4" t="s">
        <v>1369</v>
      </c>
      <c r="F40" t="s">
        <v>1224</v>
      </c>
      <c r="G40" s="1" t="s">
        <v>1218</v>
      </c>
      <c r="K40" s="9"/>
      <c r="L40" t="str">
        <f t="shared" si="3"/>
        <v>TCEWS000 Surface Treatment Service</v>
      </c>
      <c r="M40" s="1" t="s">
        <v>459</v>
      </c>
      <c r="N40" s="192" t="s">
        <v>570</v>
      </c>
      <c r="O40" s="1" t="s">
        <v>460</v>
      </c>
      <c r="P40" s="3">
        <v>28</v>
      </c>
      <c r="R40" s="166" t="s">
        <v>743</v>
      </c>
      <c r="S40" s="166" t="s">
        <v>744</v>
      </c>
      <c r="T40" s="166" t="s">
        <v>745</v>
      </c>
      <c r="U40" t="str">
        <f t="shared" si="2"/>
        <v>BSD Bahaman Dollar</v>
      </c>
      <c r="W40" s="266" t="s">
        <v>1411</v>
      </c>
      <c r="X40" s="267">
        <v>162</v>
      </c>
      <c r="Y40" s="268">
        <v>1</v>
      </c>
    </row>
    <row r="41" spans="1:25">
      <c r="A41" s="2">
        <v>30</v>
      </c>
      <c r="B41" s="1" t="s">
        <v>1253</v>
      </c>
      <c r="C41" s="1" t="s">
        <v>188</v>
      </c>
      <c r="E41" s="4" t="s">
        <v>1293</v>
      </c>
      <c r="F41" t="s">
        <v>1225</v>
      </c>
      <c r="G41" s="1" t="s">
        <v>1219</v>
      </c>
      <c r="K41" s="8"/>
      <c r="L41" t="str">
        <f t="shared" si="3"/>
        <v>TCEWSV02 Surface Treatment, De-Painting</v>
      </c>
      <c r="M41" s="1" t="s">
        <v>461</v>
      </c>
      <c r="N41" s="192" t="s">
        <v>583</v>
      </c>
      <c r="O41" s="1" t="s">
        <v>462</v>
      </c>
      <c r="P41" s="3">
        <v>29</v>
      </c>
      <c r="R41" s="166" t="s">
        <v>746</v>
      </c>
      <c r="S41" s="166" t="s">
        <v>747</v>
      </c>
      <c r="T41" s="166" t="s">
        <v>747</v>
      </c>
      <c r="U41" t="str">
        <f t="shared" si="2"/>
        <v>BTN Bhutan Ngultrum</v>
      </c>
      <c r="W41" s="266" t="s">
        <v>1412</v>
      </c>
      <c r="X41" s="267">
        <v>98</v>
      </c>
      <c r="Y41" s="268">
        <v>1</v>
      </c>
    </row>
    <row r="42" spans="1:25">
      <c r="A42" s="2">
        <v>31</v>
      </c>
      <c r="B42" s="1" t="s">
        <v>352</v>
      </c>
      <c r="C42" s="1" t="s">
        <v>189</v>
      </c>
      <c r="E42" s="4" t="s">
        <v>1310</v>
      </c>
      <c r="F42" t="s">
        <v>1226</v>
      </c>
      <c r="G42" s="1" t="s">
        <v>1220</v>
      </c>
      <c r="H42" s="5"/>
      <c r="I42" s="1"/>
      <c r="K42" s="8"/>
      <c r="L42" t="str">
        <f t="shared" si="3"/>
        <v>TCEXA000 EGR Valves</v>
      </c>
      <c r="M42" s="1" t="s">
        <v>463</v>
      </c>
      <c r="N42" s="192" t="s">
        <v>558</v>
      </c>
      <c r="O42" s="1" t="s">
        <v>464</v>
      </c>
      <c r="P42" s="3">
        <v>30</v>
      </c>
      <c r="R42" s="166" t="s">
        <v>748</v>
      </c>
      <c r="S42" s="166" t="s">
        <v>749</v>
      </c>
      <c r="T42" s="166" t="s">
        <v>750</v>
      </c>
      <c r="U42" t="str">
        <f t="shared" si="2"/>
        <v>BWP Botswana Pula</v>
      </c>
      <c r="W42" s="266" t="s">
        <v>1413</v>
      </c>
      <c r="X42" s="267">
        <v>104</v>
      </c>
      <c r="Y42" s="268">
        <v>1</v>
      </c>
    </row>
    <row r="43" spans="1:25">
      <c r="A43" s="2">
        <v>32</v>
      </c>
      <c r="B43" s="22" t="s">
        <v>351</v>
      </c>
      <c r="C43" s="22" t="s">
        <v>190</v>
      </c>
      <c r="E43" s="1" t="str">
        <f>HLOOKUP(Language,Translation,262)</f>
        <v>Self-disclosure VDA ISA</v>
      </c>
      <c r="F43" t="s">
        <v>1227</v>
      </c>
      <c r="G43" s="1" t="s">
        <v>1221</v>
      </c>
      <c r="J43" s="5"/>
      <c r="K43" s="8"/>
      <c r="L43" t="str">
        <f t="shared" si="3"/>
        <v>TCEXC000 Catalytic Converters</v>
      </c>
      <c r="M43" s="1" t="s">
        <v>465</v>
      </c>
      <c r="N43" s="192" t="s">
        <v>559</v>
      </c>
      <c r="O43" s="1" t="s">
        <v>466</v>
      </c>
      <c r="P43" s="3">
        <v>31</v>
      </c>
      <c r="R43" s="166" t="s">
        <v>751</v>
      </c>
      <c r="S43" s="166" t="s">
        <v>752</v>
      </c>
      <c r="T43" s="166" t="s">
        <v>753</v>
      </c>
      <c r="U43" t="str">
        <f t="shared" si="2"/>
        <v>BYB Belorussian Ruble</v>
      </c>
      <c r="W43" s="266" t="s">
        <v>1414</v>
      </c>
      <c r="X43" s="267">
        <v>121</v>
      </c>
      <c r="Y43" s="268">
        <v>1</v>
      </c>
    </row>
    <row r="44" spans="1:25">
      <c r="A44" s="2">
        <v>33</v>
      </c>
      <c r="B44" s="19" t="s">
        <v>1250</v>
      </c>
      <c r="C44" s="20" t="s">
        <v>1249</v>
      </c>
      <c r="E44" s="1" t="str">
        <f>HLOOKUP(Language,Translation,263)</f>
        <v>Other certifications</v>
      </c>
      <c r="F44" s="11"/>
      <c r="H44" s="8"/>
      <c r="J44" s="8"/>
      <c r="K44" s="8"/>
      <c r="L44" t="str">
        <f t="shared" si="3"/>
        <v>TCEXD000 Dampers</v>
      </c>
      <c r="M44" s="1" t="s">
        <v>467</v>
      </c>
      <c r="N44" s="192" t="s">
        <v>560</v>
      </c>
      <c r="O44" s="1" t="s">
        <v>468</v>
      </c>
      <c r="P44" s="3">
        <v>32</v>
      </c>
      <c r="R44" s="166" t="s">
        <v>754</v>
      </c>
      <c r="S44" s="166" t="s">
        <v>755</v>
      </c>
      <c r="T44" s="166" t="s">
        <v>756</v>
      </c>
      <c r="U44" t="str">
        <f t="shared" si="2"/>
        <v>BZD Belize Dollar</v>
      </c>
      <c r="W44" s="266" t="s">
        <v>1415</v>
      </c>
      <c r="X44" s="267">
        <v>98</v>
      </c>
      <c r="Y44" s="268">
        <v>1</v>
      </c>
    </row>
    <row r="45" spans="1:25">
      <c r="A45" s="2">
        <v>34</v>
      </c>
      <c r="B45" s="19" t="s">
        <v>662</v>
      </c>
      <c r="C45" t="s">
        <v>663</v>
      </c>
      <c r="F45" s="7"/>
      <c r="G45" s="12"/>
      <c r="H45" s="7"/>
      <c r="I45" s="13"/>
      <c r="J45" s="8"/>
      <c r="K45" s="11"/>
      <c r="L45" t="str">
        <f t="shared" si="3"/>
        <v>TCEXF000 Fittings</v>
      </c>
      <c r="M45" s="1" t="s">
        <v>469</v>
      </c>
      <c r="N45" s="192" t="s">
        <v>561</v>
      </c>
      <c r="O45" s="1" t="s">
        <v>470</v>
      </c>
      <c r="P45" s="3">
        <v>33</v>
      </c>
      <c r="R45" s="166" t="s">
        <v>26</v>
      </c>
      <c r="S45" s="166" t="s">
        <v>757</v>
      </c>
      <c r="T45" s="166" t="s">
        <v>758</v>
      </c>
      <c r="U45" t="str">
        <f t="shared" ref="U45:U76" si="4">CONCATENATE(R45&amp;" "&amp;IF(Language=$B$12,S45,T45))</f>
        <v>CAD Canadian Dollar</v>
      </c>
      <c r="W45" s="269" t="s">
        <v>1416</v>
      </c>
      <c r="X45" s="270">
        <v>62</v>
      </c>
      <c r="Y45" s="271">
        <v>100</v>
      </c>
    </row>
    <row r="46" spans="1:25">
      <c r="A46" s="2">
        <v>35</v>
      </c>
      <c r="B46" s="19" t="s">
        <v>243</v>
      </c>
      <c r="C46" s="4" t="s">
        <v>8</v>
      </c>
      <c r="F46" s="8"/>
      <c r="G46" s="1"/>
      <c r="H46" s="8"/>
      <c r="J46" s="11"/>
      <c r="K46" s="7"/>
      <c r="L46" t="str">
        <f t="shared" ref="L46:L49" si="5">M46&amp;" "&amp;HLOOKUP(Language,TCname,P46)</f>
        <v>TCEXS000 EES Special Parts</v>
      </c>
      <c r="M46" s="1" t="s">
        <v>471</v>
      </c>
      <c r="N46" s="192" t="s">
        <v>562</v>
      </c>
      <c r="O46" s="1" t="s">
        <v>472</v>
      </c>
      <c r="P46" s="3">
        <v>34</v>
      </c>
      <c r="R46" s="166" t="s">
        <v>759</v>
      </c>
      <c r="S46" s="166" t="s">
        <v>760</v>
      </c>
      <c r="T46" s="166" t="s">
        <v>761</v>
      </c>
      <c r="U46" t="str">
        <f t="shared" si="4"/>
        <v>CFP French Franc (Pacific Islands)</v>
      </c>
      <c r="W46" s="263" t="s">
        <v>1417</v>
      </c>
      <c r="X46" s="264">
        <v>14</v>
      </c>
      <c r="Y46" s="265">
        <v>0</v>
      </c>
    </row>
    <row r="47" spans="1:25">
      <c r="A47" s="2">
        <v>36</v>
      </c>
      <c r="B47" s="11" t="s">
        <v>244</v>
      </c>
      <c r="C47" s="11" t="s">
        <v>31</v>
      </c>
      <c r="F47" s="4"/>
      <c r="G47" s="8"/>
      <c r="H47" s="8"/>
      <c r="I47" s="1"/>
      <c r="J47" s="7"/>
      <c r="K47" s="8"/>
      <c r="L47" t="str">
        <f t="shared" si="5"/>
        <v>TCEXW000 Gaskets</v>
      </c>
      <c r="M47" s="1" t="s">
        <v>473</v>
      </c>
      <c r="N47" s="192" t="s">
        <v>563</v>
      </c>
      <c r="O47" s="1" t="s">
        <v>474</v>
      </c>
      <c r="P47" s="3">
        <v>35</v>
      </c>
      <c r="R47" s="166" t="s">
        <v>762</v>
      </c>
      <c r="S47" s="166" t="s">
        <v>763</v>
      </c>
      <c r="T47" s="166" t="s">
        <v>764</v>
      </c>
      <c r="U47" t="str">
        <f t="shared" si="4"/>
        <v>CHF Swiss Franc</v>
      </c>
      <c r="W47" s="269" t="s">
        <v>1418</v>
      </c>
      <c r="X47" s="270">
        <v>154</v>
      </c>
      <c r="Y47" s="271">
        <v>100</v>
      </c>
    </row>
    <row r="48" spans="1:25">
      <c r="A48" s="2">
        <v>37</v>
      </c>
      <c r="B48" s="11" t="s">
        <v>245</v>
      </c>
      <c r="C48" s="11" t="s">
        <v>30</v>
      </c>
      <c r="G48" s="4"/>
      <c r="H48" s="4"/>
      <c r="I48" s="13"/>
      <c r="J48" s="8"/>
      <c r="K48" s="4"/>
      <c r="L48" t="str">
        <f t="shared" si="5"/>
        <v>TCEXX000 Mats / Isolation</v>
      </c>
      <c r="M48" s="1" t="s">
        <v>475</v>
      </c>
      <c r="N48" s="192" t="s">
        <v>584</v>
      </c>
      <c r="O48" s="1" t="s">
        <v>476</v>
      </c>
      <c r="P48" s="3">
        <v>36</v>
      </c>
      <c r="R48" s="166" t="s">
        <v>765</v>
      </c>
      <c r="S48" s="166" t="s">
        <v>766</v>
      </c>
      <c r="T48" s="166" t="s">
        <v>767</v>
      </c>
      <c r="U48" t="str">
        <f t="shared" si="4"/>
        <v>CLP Chilean Peso</v>
      </c>
      <c r="W48" s="263" t="s">
        <v>1419</v>
      </c>
      <c r="X48" s="264">
        <v>30</v>
      </c>
      <c r="Y48" s="265">
        <v>0</v>
      </c>
    </row>
    <row r="49" spans="1:25">
      <c r="A49" s="2">
        <v>38</v>
      </c>
      <c r="B49" s="6" t="s">
        <v>246</v>
      </c>
      <c r="C49" s="6" t="s">
        <v>232</v>
      </c>
      <c r="E49" t="s">
        <v>1561</v>
      </c>
      <c r="J49" s="4"/>
      <c r="L49" t="str">
        <f t="shared" si="5"/>
        <v>TCIAC000 Lubricants</v>
      </c>
      <c r="M49" s="1" t="s">
        <v>477</v>
      </c>
      <c r="N49" s="192" t="s">
        <v>569</v>
      </c>
      <c r="O49" s="1" t="s">
        <v>478</v>
      </c>
      <c r="P49" s="3">
        <v>37</v>
      </c>
      <c r="R49" s="166" t="s">
        <v>768</v>
      </c>
      <c r="S49" s="166" t="s">
        <v>769</v>
      </c>
      <c r="T49" s="166" t="s">
        <v>770</v>
      </c>
      <c r="U49" t="str">
        <f t="shared" si="4"/>
        <v>COP Colombian Peso</v>
      </c>
      <c r="W49" s="266" t="s">
        <v>1420</v>
      </c>
      <c r="X49" s="267">
        <v>76</v>
      </c>
      <c r="Y49" s="268">
        <v>1</v>
      </c>
    </row>
    <row r="50" spans="1:25" ht="12.75" customHeight="1">
      <c r="A50" s="2">
        <v>39</v>
      </c>
      <c r="B50" s="1" t="s">
        <v>247</v>
      </c>
      <c r="C50" s="6" t="s">
        <v>9</v>
      </c>
      <c r="E50" s="1" t="str">
        <f>$B$3</f>
        <v>Please select!</v>
      </c>
      <c r="L50" t="str">
        <f t="shared" ref="L50:L81" si="6">M50&amp;" "&amp;HLOOKUP(Language,TCname,P50)</f>
        <v>TCIAC005 Glue, Serial</v>
      </c>
      <c r="M50" s="1" t="s">
        <v>1269</v>
      </c>
      <c r="N50" s="1" t="s">
        <v>1270</v>
      </c>
      <c r="O50" s="1" t="s">
        <v>1271</v>
      </c>
      <c r="P50" s="3">
        <v>38</v>
      </c>
      <c r="R50" s="166" t="s">
        <v>771</v>
      </c>
      <c r="S50" s="166" t="s">
        <v>772</v>
      </c>
      <c r="T50" s="166" t="s">
        <v>773</v>
      </c>
      <c r="U50" t="str">
        <f t="shared" si="4"/>
        <v>CRC Costa Rica Colon</v>
      </c>
      <c r="W50" s="266" t="s">
        <v>1421</v>
      </c>
      <c r="X50" s="267">
        <v>149</v>
      </c>
      <c r="Y50" s="268">
        <v>1</v>
      </c>
    </row>
    <row r="51" spans="1:25" ht="12.75" customHeight="1">
      <c r="A51" s="2">
        <v>40</v>
      </c>
      <c r="B51" s="1" t="s">
        <v>28</v>
      </c>
      <c r="C51" s="6" t="s">
        <v>28</v>
      </c>
      <c r="E51" s="1" t="str">
        <f>HLOOKUP(Language,Translation,248)</f>
        <v>Coverage amounts min. acc. BS.PU.002.An.01</v>
      </c>
      <c r="L51" t="str">
        <f t="shared" si="6"/>
        <v>TCIAS000 Surface Treatment Material</v>
      </c>
      <c r="M51" s="1" t="s">
        <v>479</v>
      </c>
      <c r="N51" s="1" t="s">
        <v>1272</v>
      </c>
      <c r="O51" s="1" t="s">
        <v>480</v>
      </c>
      <c r="P51" s="3">
        <v>39</v>
      </c>
      <c r="R51" s="166" t="s">
        <v>774</v>
      </c>
      <c r="S51" s="166" t="s">
        <v>775</v>
      </c>
      <c r="T51" s="166" t="s">
        <v>776</v>
      </c>
      <c r="U51" t="str">
        <f t="shared" si="4"/>
        <v>CUP Cuban Peso</v>
      </c>
      <c r="W51" s="263" t="s">
        <v>1422</v>
      </c>
      <c r="X51" s="264">
        <v>24</v>
      </c>
      <c r="Y51" s="265">
        <v>0</v>
      </c>
    </row>
    <row r="52" spans="1:25">
      <c r="A52" s="2">
        <v>41</v>
      </c>
      <c r="B52" s="1" t="s">
        <v>29</v>
      </c>
      <c r="C52" s="6" t="s">
        <v>29</v>
      </c>
      <c r="E52" s="1" t="str">
        <f>HLOOKUP(Language,Translation,274)</f>
        <v>Coverage amounts min. acc. BS.PU.002.An.01 exklusive US/CAN</v>
      </c>
      <c r="F52" s="1"/>
      <c r="L52" t="str">
        <f t="shared" si="6"/>
        <v>TCIAW000 Welding/Soldering Consumables</v>
      </c>
      <c r="M52" s="1" t="s">
        <v>481</v>
      </c>
      <c r="N52" s="192" t="s">
        <v>571</v>
      </c>
      <c r="O52" s="1" t="s">
        <v>482</v>
      </c>
      <c r="P52" s="3">
        <v>40</v>
      </c>
      <c r="R52" s="166" t="s">
        <v>777</v>
      </c>
      <c r="S52" s="166" t="s">
        <v>778</v>
      </c>
      <c r="T52" s="166" t="s">
        <v>779</v>
      </c>
      <c r="U52" t="str">
        <f t="shared" si="4"/>
        <v>CVE Cape Verde Escudo</v>
      </c>
      <c r="W52" s="269" t="s">
        <v>1423</v>
      </c>
      <c r="X52" s="270">
        <v>98</v>
      </c>
      <c r="Y52" s="271">
        <v>100</v>
      </c>
    </row>
    <row r="53" spans="1:25">
      <c r="A53" s="2">
        <v>42</v>
      </c>
      <c r="B53" s="4" t="s">
        <v>228</v>
      </c>
      <c r="C53" s="4" t="s">
        <v>154</v>
      </c>
      <c r="E53" s="1" t="str">
        <f>HLOOKUP(Language,Translation,217)</f>
        <v>Coverage amounts not sufficient, supplier join the BENTELER - Insurance Supplier Pool/ -Service Provider Pool</v>
      </c>
      <c r="F53" s="14"/>
      <c r="G53" s="5"/>
      <c r="H53" s="1"/>
      <c r="I53" s="1"/>
      <c r="K53" s="1"/>
      <c r="L53" t="str">
        <f t="shared" si="6"/>
        <v>TCILO004 Logistic Services</v>
      </c>
      <c r="M53" s="1" t="s">
        <v>483</v>
      </c>
      <c r="N53" s="192" t="s">
        <v>1273</v>
      </c>
      <c r="O53" s="1" t="s">
        <v>1274</v>
      </c>
      <c r="P53" s="3">
        <v>41</v>
      </c>
      <c r="R53" s="166" t="s">
        <v>780</v>
      </c>
      <c r="S53" s="166" t="s">
        <v>781</v>
      </c>
      <c r="T53" s="166" t="s">
        <v>782</v>
      </c>
      <c r="U53" t="str">
        <f t="shared" si="4"/>
        <v>CYP Cyprus Pound</v>
      </c>
      <c r="W53" s="266" t="s">
        <v>1424</v>
      </c>
      <c r="X53" s="267">
        <v>70</v>
      </c>
      <c r="Y53" s="268">
        <v>1</v>
      </c>
    </row>
    <row r="54" spans="1:25" ht="12.75" customHeight="1">
      <c r="A54" s="2">
        <v>43</v>
      </c>
      <c r="B54" s="4" t="s">
        <v>248</v>
      </c>
      <c r="C54" s="4" t="s">
        <v>132</v>
      </c>
      <c r="E54" s="1" t="str">
        <f>HLOOKUP(Language,Translation,275)</f>
        <v>Coverage amounts not sufficient</v>
      </c>
      <c r="G54" s="15"/>
      <c r="H54" s="14"/>
      <c r="I54" s="16"/>
      <c r="J54" s="1"/>
      <c r="K54" s="1"/>
      <c r="L54" t="str">
        <f t="shared" si="6"/>
        <v>TCILP000 Packaging Units</v>
      </c>
      <c r="M54" s="1" t="s">
        <v>484</v>
      </c>
      <c r="N54" s="192" t="s">
        <v>572</v>
      </c>
      <c r="O54" s="1" t="s">
        <v>485</v>
      </c>
      <c r="P54" s="3">
        <v>42</v>
      </c>
      <c r="R54" s="166" t="s">
        <v>783</v>
      </c>
      <c r="S54" s="166" t="s">
        <v>784</v>
      </c>
      <c r="T54" s="166" t="s">
        <v>785</v>
      </c>
      <c r="U54" t="str">
        <f t="shared" si="4"/>
        <v>CZK Czech Krona</v>
      </c>
      <c r="W54" s="263" t="s">
        <v>1425</v>
      </c>
      <c r="X54" s="264">
        <v>26</v>
      </c>
      <c r="Y54" s="265">
        <v>0</v>
      </c>
    </row>
    <row r="55" spans="1:25">
      <c r="A55" s="2">
        <v>44</v>
      </c>
      <c r="B55" s="16" t="s">
        <v>353</v>
      </c>
      <c r="C55" s="1" t="s">
        <v>133</v>
      </c>
      <c r="E55" s="1" t="str">
        <f>HLOOKUP(Language,Translation,291)</f>
        <v>The supplier will have an estimated annual turnover &lt; 50,000 EUR in current and upcoming calendar year</v>
      </c>
      <c r="J55" s="1"/>
      <c r="L55" t="str">
        <f t="shared" si="6"/>
        <v>TCILT000 Transport</v>
      </c>
      <c r="M55" s="1" t="s">
        <v>486</v>
      </c>
      <c r="N55" s="192" t="s">
        <v>573</v>
      </c>
      <c r="O55" s="1" t="s">
        <v>487</v>
      </c>
      <c r="P55" s="3">
        <v>43</v>
      </c>
      <c r="R55" s="166" t="s">
        <v>786</v>
      </c>
      <c r="S55" s="166" t="s">
        <v>787</v>
      </c>
      <c r="T55" s="166" t="s">
        <v>788</v>
      </c>
      <c r="U55" t="str">
        <f t="shared" si="4"/>
        <v>DJF Djibouti Franc</v>
      </c>
      <c r="W55" s="266" t="s">
        <v>1426</v>
      </c>
      <c r="X55" s="267">
        <v>133</v>
      </c>
      <c r="Y55" s="268">
        <v>1</v>
      </c>
    </row>
    <row r="56" spans="1:25">
      <c r="A56" s="2">
        <v>45</v>
      </c>
      <c r="B56" s="6" t="s">
        <v>348</v>
      </c>
      <c r="C56" s="6" t="s">
        <v>111</v>
      </c>
      <c r="E56" s="1" t="str">
        <f>HLOOKUP(Language,Translation,292)</f>
        <v>No insurance required acc. to BS.PU.002.An.01 / BST_PR_AD026</v>
      </c>
      <c r="L56" t="str">
        <f t="shared" si="6"/>
        <v>TCISB009 Service-Serial, Packaging, Labeling, Sorting</v>
      </c>
      <c r="M56" s="1" t="s">
        <v>1819</v>
      </c>
      <c r="N56" s="1" t="s">
        <v>1820</v>
      </c>
      <c r="O56" s="1" t="s">
        <v>1267</v>
      </c>
      <c r="P56" s="3">
        <v>44</v>
      </c>
      <c r="R56" s="166" t="s">
        <v>789</v>
      </c>
      <c r="S56" s="166" t="s">
        <v>790</v>
      </c>
      <c r="T56" s="166" t="s">
        <v>791</v>
      </c>
      <c r="U56" t="str">
        <f t="shared" si="4"/>
        <v>DKK Danish Krone</v>
      </c>
      <c r="W56" s="266" t="s">
        <v>1427</v>
      </c>
      <c r="X56" s="267">
        <v>108</v>
      </c>
      <c r="Y56" s="268">
        <v>1</v>
      </c>
    </row>
    <row r="57" spans="1:25">
      <c r="A57" s="2">
        <v>46</v>
      </c>
      <c r="B57" s="6" t="s">
        <v>395</v>
      </c>
      <c r="C57" s="6" t="s">
        <v>112</v>
      </c>
      <c r="E57" s="1"/>
      <c r="L57" t="str">
        <f t="shared" si="6"/>
        <v>TCISC000 Laboratories &amp; Testings</v>
      </c>
      <c r="M57" s="1" t="s">
        <v>1275</v>
      </c>
      <c r="N57" s="192" t="s">
        <v>1276</v>
      </c>
      <c r="O57" s="1" t="s">
        <v>1277</v>
      </c>
      <c r="P57" s="3">
        <v>45</v>
      </c>
      <c r="R57" s="166" t="s">
        <v>792</v>
      </c>
      <c r="S57" s="166" t="s">
        <v>793</v>
      </c>
      <c r="T57" s="166" t="s">
        <v>794</v>
      </c>
      <c r="U57" t="str">
        <f t="shared" si="4"/>
        <v>DOP Dominican Peso</v>
      </c>
      <c r="W57" s="263" t="s">
        <v>1428</v>
      </c>
      <c r="X57" s="264">
        <v>39</v>
      </c>
      <c r="Y57" s="265">
        <v>0</v>
      </c>
    </row>
    <row r="58" spans="1:25" ht="12.75" customHeight="1">
      <c r="A58" s="2">
        <v>47</v>
      </c>
      <c r="B58" s="6" t="s">
        <v>249</v>
      </c>
      <c r="C58" s="6" t="s">
        <v>233</v>
      </c>
      <c r="L58" t="str">
        <f t="shared" si="6"/>
        <v>TCISH000 HR Services</v>
      </c>
      <c r="M58" s="1" t="s">
        <v>488</v>
      </c>
      <c r="N58" s="192" t="s">
        <v>574</v>
      </c>
      <c r="O58" s="1" t="s">
        <v>489</v>
      </c>
      <c r="P58" s="3">
        <v>46</v>
      </c>
      <c r="R58" s="166" t="s">
        <v>795</v>
      </c>
      <c r="S58" s="166" t="s">
        <v>796</v>
      </c>
      <c r="T58" s="166" t="s">
        <v>797</v>
      </c>
      <c r="U58" t="str">
        <f t="shared" si="4"/>
        <v>DZD Algerian Dinar</v>
      </c>
      <c r="W58" s="266" t="s">
        <v>1429</v>
      </c>
      <c r="X58" s="267">
        <v>67</v>
      </c>
      <c r="Y58" s="268">
        <v>1</v>
      </c>
    </row>
    <row r="59" spans="1:25">
      <c r="A59" s="2">
        <v>48</v>
      </c>
      <c r="B59" s="14" t="s">
        <v>1320</v>
      </c>
      <c r="C59" s="6" t="s">
        <v>134</v>
      </c>
      <c r="E59" s="1" t="s">
        <v>1676</v>
      </c>
      <c r="L59" t="str">
        <f t="shared" si="6"/>
        <v>TCMDI000 Stamping Dies,Inhouse Tooling (Benteler)</v>
      </c>
      <c r="M59" s="1" t="s">
        <v>490</v>
      </c>
      <c r="N59" s="1" t="s">
        <v>575</v>
      </c>
      <c r="O59" s="1" t="s">
        <v>491</v>
      </c>
      <c r="P59" s="3">
        <v>47</v>
      </c>
      <c r="R59" s="166" t="s">
        <v>798</v>
      </c>
      <c r="S59" s="166" t="s">
        <v>799</v>
      </c>
      <c r="T59" s="166" t="s">
        <v>800</v>
      </c>
      <c r="U59" t="str">
        <f t="shared" si="4"/>
        <v>ECS Ecuadorian Sucre</v>
      </c>
      <c r="W59" s="266" t="s">
        <v>1430</v>
      </c>
      <c r="X59" s="267">
        <v>83</v>
      </c>
      <c r="Y59" s="268">
        <v>1</v>
      </c>
    </row>
    <row r="60" spans="1:25">
      <c r="A60" s="2">
        <v>49</v>
      </c>
      <c r="B60" s="14" t="s">
        <v>1319</v>
      </c>
      <c r="C60" s="6" t="s">
        <v>1321</v>
      </c>
      <c r="E60" s="1" t="str">
        <f>$B$3</f>
        <v>Please select!</v>
      </c>
      <c r="L60" t="str">
        <f t="shared" si="6"/>
        <v>TCMFF000 Connecting Elements</v>
      </c>
      <c r="M60" s="1" t="s">
        <v>492</v>
      </c>
      <c r="N60" s="192" t="s">
        <v>539</v>
      </c>
      <c r="O60" s="1" t="s">
        <v>493</v>
      </c>
      <c r="P60" s="3">
        <v>48</v>
      </c>
      <c r="R60" s="166" t="s">
        <v>801</v>
      </c>
      <c r="S60" s="166" t="s">
        <v>802</v>
      </c>
      <c r="T60" s="166" t="s">
        <v>803</v>
      </c>
      <c r="U60" t="str">
        <f t="shared" si="4"/>
        <v>EEK Estonian Krone</v>
      </c>
      <c r="W60" s="269" t="s">
        <v>1431</v>
      </c>
      <c r="X60" s="270">
        <v>162</v>
      </c>
      <c r="Y60" s="271">
        <v>100</v>
      </c>
    </row>
    <row r="61" spans="1:25" ht="12.75" customHeight="1">
      <c r="A61" s="2">
        <v>50</v>
      </c>
      <c r="B61" s="14" t="s">
        <v>250</v>
      </c>
      <c r="C61" s="6" t="s">
        <v>135</v>
      </c>
      <c r="E61" s="1" t="s">
        <v>1674</v>
      </c>
      <c r="L61" t="str">
        <f t="shared" si="6"/>
        <v>TCMFS000 Sintered parts</v>
      </c>
      <c r="M61" s="1" t="s">
        <v>494</v>
      </c>
      <c r="N61" s="192" t="s">
        <v>576</v>
      </c>
      <c r="O61" s="1" t="s">
        <v>495</v>
      </c>
      <c r="P61" s="3">
        <v>49</v>
      </c>
      <c r="R61" s="166" t="s">
        <v>804</v>
      </c>
      <c r="S61" s="166" t="s">
        <v>805</v>
      </c>
      <c r="T61" s="166" t="s">
        <v>806</v>
      </c>
      <c r="U61" t="str">
        <f t="shared" si="4"/>
        <v>EGP Egyptian Pound</v>
      </c>
      <c r="W61" s="266" t="s">
        <v>1432</v>
      </c>
      <c r="X61" s="267">
        <v>158</v>
      </c>
      <c r="Y61" s="268">
        <v>1</v>
      </c>
    </row>
    <row r="62" spans="1:25" ht="12.75" customHeight="1">
      <c r="A62" s="2">
        <v>51</v>
      </c>
      <c r="B62" s="14" t="s">
        <v>136</v>
      </c>
      <c r="C62" s="1" t="s">
        <v>136</v>
      </c>
      <c r="E62" s="1" t="s">
        <v>1675</v>
      </c>
      <c r="L62" t="str">
        <f t="shared" si="6"/>
        <v>TCMP0000 Press Parts</v>
      </c>
      <c r="M62" s="1" t="s">
        <v>496</v>
      </c>
      <c r="N62" s="1" t="s">
        <v>540</v>
      </c>
      <c r="O62" s="1" t="s">
        <v>497</v>
      </c>
      <c r="P62" s="3">
        <v>50</v>
      </c>
      <c r="R62" s="166" t="s">
        <v>807</v>
      </c>
      <c r="S62" s="166" t="s">
        <v>808</v>
      </c>
      <c r="T62" s="166" t="s">
        <v>809</v>
      </c>
      <c r="U62" t="str">
        <f t="shared" si="4"/>
        <v>ERN Eritrean Nafka</v>
      </c>
      <c r="W62" s="266" t="s">
        <v>1433</v>
      </c>
      <c r="X62" s="267">
        <v>140</v>
      </c>
      <c r="Y62" s="268">
        <v>1</v>
      </c>
    </row>
    <row r="63" spans="1:25">
      <c r="A63" s="2">
        <v>52</v>
      </c>
      <c r="B63" s="14" t="s">
        <v>1863</v>
      </c>
      <c r="C63" s="15" t="s">
        <v>1882</v>
      </c>
      <c r="E63" s="1" t="s">
        <v>1828</v>
      </c>
      <c r="L63" t="str">
        <f t="shared" si="6"/>
        <v>TCMP0002 Press Parts, Assy</v>
      </c>
      <c r="M63" s="1" t="s">
        <v>498</v>
      </c>
      <c r="N63" s="1" t="s">
        <v>585</v>
      </c>
      <c r="O63" s="1" t="s">
        <v>499</v>
      </c>
      <c r="P63" s="3">
        <v>51</v>
      </c>
      <c r="R63" s="166" t="s">
        <v>810</v>
      </c>
      <c r="S63" s="166" t="s">
        <v>811</v>
      </c>
      <c r="T63" s="166" t="s">
        <v>812</v>
      </c>
      <c r="U63" t="str">
        <f t="shared" si="4"/>
        <v>ESP Spanish Peseta</v>
      </c>
      <c r="W63" s="263" t="s">
        <v>1434</v>
      </c>
      <c r="X63" s="264">
        <v>12</v>
      </c>
      <c r="Y63" s="265">
        <v>0</v>
      </c>
    </row>
    <row r="64" spans="1:25">
      <c r="A64" s="2">
        <v>53</v>
      </c>
      <c r="B64" s="14" t="s">
        <v>251</v>
      </c>
      <c r="C64" s="1" t="s">
        <v>137</v>
      </c>
      <c r="L64" t="str">
        <f t="shared" si="6"/>
        <v>TCMP0003 Press Parts, Fine Blank</v>
      </c>
      <c r="M64" s="1" t="s">
        <v>500</v>
      </c>
      <c r="N64" s="1" t="s">
        <v>586</v>
      </c>
      <c r="O64" s="1" t="s">
        <v>501</v>
      </c>
      <c r="P64" s="3">
        <v>52</v>
      </c>
      <c r="R64" s="166" t="s">
        <v>813</v>
      </c>
      <c r="S64" s="166" t="s">
        <v>814</v>
      </c>
      <c r="T64" s="166" t="s">
        <v>815</v>
      </c>
      <c r="U64" t="str">
        <f t="shared" si="4"/>
        <v>ETB Ethiopian Birr</v>
      </c>
      <c r="W64" s="263" t="s">
        <v>1874</v>
      </c>
      <c r="X64" s="264">
        <v>30</v>
      </c>
      <c r="Y64" s="265">
        <v>0</v>
      </c>
    </row>
    <row r="65" spans="1:25">
      <c r="A65" s="2">
        <v>54</v>
      </c>
      <c r="B65" s="14" t="s">
        <v>157</v>
      </c>
      <c r="C65" s="1" t="s">
        <v>118</v>
      </c>
      <c r="L65" t="str">
        <f t="shared" si="6"/>
        <v>TCMP0004 Press Parts, Deep Drawn</v>
      </c>
      <c r="M65" s="1" t="s">
        <v>502</v>
      </c>
      <c r="N65" s="1" t="s">
        <v>587</v>
      </c>
      <c r="O65" s="1" t="s">
        <v>503</v>
      </c>
      <c r="P65" s="3">
        <v>53</v>
      </c>
      <c r="R65" s="166" t="s">
        <v>816</v>
      </c>
      <c r="S65" s="166" t="s">
        <v>817</v>
      </c>
      <c r="T65" s="166" t="s">
        <v>818</v>
      </c>
      <c r="U65" t="str">
        <f t="shared" si="4"/>
        <v>FIM Finnish markka</v>
      </c>
      <c r="W65" s="269" t="s">
        <v>1435</v>
      </c>
      <c r="X65" s="270">
        <v>149</v>
      </c>
      <c r="Y65" s="271">
        <v>100</v>
      </c>
    </row>
    <row r="66" spans="1:25">
      <c r="A66" s="2">
        <v>55</v>
      </c>
      <c r="B66" s="14" t="s">
        <v>349</v>
      </c>
      <c r="C66" s="1" t="s">
        <v>16</v>
      </c>
      <c r="E66" s="1" t="s">
        <v>1844</v>
      </c>
      <c r="L66" t="str">
        <f t="shared" si="6"/>
        <v>TCMP0005 Rolled Tubular Parts</v>
      </c>
      <c r="M66" s="1" t="s">
        <v>504</v>
      </c>
      <c r="N66" s="1" t="s">
        <v>588</v>
      </c>
      <c r="O66" s="1" t="s">
        <v>505</v>
      </c>
      <c r="P66" s="3">
        <v>54</v>
      </c>
      <c r="R66" s="166" t="s">
        <v>819</v>
      </c>
      <c r="S66" s="166" t="s">
        <v>820</v>
      </c>
      <c r="T66" s="166" t="s">
        <v>821</v>
      </c>
      <c r="U66" t="str">
        <f t="shared" si="4"/>
        <v>FJD Fiji Dollar</v>
      </c>
      <c r="W66" s="266" t="s">
        <v>1436</v>
      </c>
      <c r="X66" s="267">
        <v>162</v>
      </c>
      <c r="Y66" s="268">
        <v>1</v>
      </c>
    </row>
    <row r="67" spans="1:25">
      <c r="A67" s="2">
        <v>56</v>
      </c>
      <c r="B67" s="14" t="s">
        <v>252</v>
      </c>
      <c r="C67" s="1" t="s">
        <v>10</v>
      </c>
      <c r="E67" t="str">
        <f>$B$3</f>
        <v>Please select!</v>
      </c>
      <c r="L67" t="str">
        <f t="shared" si="6"/>
        <v>TCMT0000 Tubes / Profiles</v>
      </c>
      <c r="M67" s="1" t="s">
        <v>506</v>
      </c>
      <c r="N67" s="192" t="s">
        <v>541</v>
      </c>
      <c r="O67" s="1" t="s">
        <v>507</v>
      </c>
      <c r="P67" s="3">
        <v>55</v>
      </c>
      <c r="R67" s="166" t="s">
        <v>822</v>
      </c>
      <c r="S67" s="166" t="s">
        <v>823</v>
      </c>
      <c r="T67" s="166" t="s">
        <v>824</v>
      </c>
      <c r="U67" t="str">
        <f t="shared" si="4"/>
        <v>FKP Falkland Pound</v>
      </c>
      <c r="W67" s="263" t="s">
        <v>1437</v>
      </c>
      <c r="X67" s="264">
        <v>29</v>
      </c>
      <c r="Y67" s="265">
        <v>0</v>
      </c>
    </row>
    <row r="68" spans="1:25">
      <c r="A68" s="2">
        <v>57</v>
      </c>
      <c r="B68" s="14" t="s">
        <v>253</v>
      </c>
      <c r="C68" t="s">
        <v>156</v>
      </c>
      <c r="E68" s="1" t="s">
        <v>1845</v>
      </c>
      <c r="L68" t="str">
        <f t="shared" si="6"/>
        <v>TCMT0001 Tubes / Profiles, Added Value</v>
      </c>
      <c r="M68" s="1" t="s">
        <v>1587</v>
      </c>
      <c r="N68" s="229" t="s">
        <v>1588</v>
      </c>
      <c r="O68" s="1" t="s">
        <v>1589</v>
      </c>
      <c r="P68" s="3">
        <v>56</v>
      </c>
      <c r="R68" s="166" t="s">
        <v>825</v>
      </c>
      <c r="S68" s="166" t="s">
        <v>826</v>
      </c>
      <c r="T68" s="166" t="s">
        <v>827</v>
      </c>
      <c r="U68" t="str">
        <f t="shared" si="4"/>
        <v>FRF French Franc</v>
      </c>
      <c r="W68" s="266" t="s">
        <v>1438</v>
      </c>
      <c r="X68" s="267">
        <v>87</v>
      </c>
      <c r="Y68" s="268">
        <v>1</v>
      </c>
    </row>
    <row r="69" spans="1:25">
      <c r="A69" s="2">
        <v>58</v>
      </c>
      <c r="B69" s="14" t="s">
        <v>254</v>
      </c>
      <c r="C69" s="1" t="s">
        <v>171</v>
      </c>
      <c r="E69" s="4" t="s">
        <v>1846</v>
      </c>
      <c r="L69" t="str">
        <f t="shared" si="6"/>
        <v>TCMTT000 Blooms</v>
      </c>
      <c r="M69" s="1" t="s">
        <v>508</v>
      </c>
      <c r="N69" s="192" t="s">
        <v>577</v>
      </c>
      <c r="O69" s="1" t="s">
        <v>509</v>
      </c>
      <c r="P69" s="3">
        <v>57</v>
      </c>
      <c r="R69" s="166" t="s">
        <v>828</v>
      </c>
      <c r="S69" s="166" t="s">
        <v>829</v>
      </c>
      <c r="T69" s="166" t="s">
        <v>830</v>
      </c>
      <c r="U69" t="str">
        <f t="shared" si="4"/>
        <v>GBP British Pound</v>
      </c>
      <c r="W69" s="266" t="s">
        <v>1439</v>
      </c>
      <c r="X69" s="267">
        <v>162</v>
      </c>
      <c r="Y69" s="268">
        <v>1</v>
      </c>
    </row>
    <row r="70" spans="1:25">
      <c r="A70" s="2">
        <v>59</v>
      </c>
      <c r="B70" s="14" t="s">
        <v>255</v>
      </c>
      <c r="C70" s="1" t="s">
        <v>11</v>
      </c>
      <c r="E70" s="14" t="s">
        <v>1847</v>
      </c>
      <c r="L70" t="str">
        <f t="shared" si="6"/>
        <v>TCRA0000 Aluminium</v>
      </c>
      <c r="M70" s="1" t="s">
        <v>510</v>
      </c>
      <c r="N70" s="192" t="s">
        <v>511</v>
      </c>
      <c r="O70" s="1" t="s">
        <v>511</v>
      </c>
      <c r="P70" s="3">
        <v>58</v>
      </c>
      <c r="R70" s="166" t="s">
        <v>831</v>
      </c>
      <c r="S70" s="166" t="s">
        <v>832</v>
      </c>
      <c r="T70" s="166" t="s">
        <v>833</v>
      </c>
      <c r="U70" t="str">
        <f t="shared" si="4"/>
        <v>GEL Georgian Lari</v>
      </c>
      <c r="W70" s="266" t="s">
        <v>1440</v>
      </c>
      <c r="X70" s="267">
        <v>158</v>
      </c>
      <c r="Y70" s="268">
        <v>1</v>
      </c>
    </row>
    <row r="71" spans="1:25">
      <c r="A71" s="2">
        <v>60</v>
      </c>
      <c r="B71" s="14" t="s">
        <v>256</v>
      </c>
      <c r="C71" s="1" t="s">
        <v>1592</v>
      </c>
      <c r="E71" s="14" t="s">
        <v>1848</v>
      </c>
      <c r="L71" t="str">
        <f t="shared" si="6"/>
        <v>TCRB0000 Tailor Blanks</v>
      </c>
      <c r="M71" s="1" t="s">
        <v>512</v>
      </c>
      <c r="N71" s="192" t="s">
        <v>542</v>
      </c>
      <c r="O71" s="1" t="s">
        <v>513</v>
      </c>
      <c r="P71" s="3">
        <v>59</v>
      </c>
      <c r="R71" s="166" t="s">
        <v>834</v>
      </c>
      <c r="S71" s="166" t="s">
        <v>835</v>
      </c>
      <c r="T71" s="166" t="s">
        <v>836</v>
      </c>
      <c r="U71" t="str">
        <f t="shared" si="4"/>
        <v>GHC Ghanian Cedi</v>
      </c>
      <c r="W71" s="263" t="s">
        <v>1441</v>
      </c>
      <c r="X71" s="264">
        <v>45</v>
      </c>
      <c r="Y71" s="265">
        <v>0</v>
      </c>
    </row>
    <row r="72" spans="1:25">
      <c r="A72" s="2">
        <v>61</v>
      </c>
      <c r="B72" s="14" t="s">
        <v>1260</v>
      </c>
      <c r="C72" s="1" t="s">
        <v>1261</v>
      </c>
      <c r="E72" s="1" t="s">
        <v>1849</v>
      </c>
      <c r="L72" t="str">
        <f t="shared" si="6"/>
        <v>TCRGW000 Car Windows</v>
      </c>
      <c r="M72" s="1" t="s">
        <v>514</v>
      </c>
      <c r="N72" s="192" t="s">
        <v>578</v>
      </c>
      <c r="O72" s="1" t="s">
        <v>515</v>
      </c>
      <c r="P72" s="3">
        <v>60</v>
      </c>
      <c r="R72" s="166" t="s">
        <v>837</v>
      </c>
      <c r="S72" s="166" t="s">
        <v>838</v>
      </c>
      <c r="T72" s="166" t="s">
        <v>839</v>
      </c>
      <c r="U72" t="str">
        <f t="shared" si="4"/>
        <v>GIP Gibraltar Pound</v>
      </c>
      <c r="W72" s="266" t="s">
        <v>1442</v>
      </c>
      <c r="X72" s="267">
        <v>57</v>
      </c>
      <c r="Y72" s="268">
        <v>1</v>
      </c>
    </row>
    <row r="73" spans="1:25">
      <c r="A73" s="2">
        <v>62</v>
      </c>
      <c r="B73" s="14" t="s">
        <v>1258</v>
      </c>
      <c r="C73" s="1" t="s">
        <v>1259</v>
      </c>
      <c r="E73" s="1" t="s">
        <v>1850</v>
      </c>
      <c r="L73" t="str">
        <f t="shared" si="6"/>
        <v>TCRM0000 Magnesium</v>
      </c>
      <c r="M73" s="1" t="s">
        <v>516</v>
      </c>
      <c r="N73" s="192" t="s">
        <v>517</v>
      </c>
      <c r="O73" s="1" t="s">
        <v>517</v>
      </c>
      <c r="P73" s="3">
        <v>61</v>
      </c>
      <c r="R73" s="166" t="s">
        <v>840</v>
      </c>
      <c r="S73" s="166" t="s">
        <v>841</v>
      </c>
      <c r="T73" s="166" t="s">
        <v>842</v>
      </c>
      <c r="U73" t="str">
        <f t="shared" si="4"/>
        <v>GMD Gambian Dalasi</v>
      </c>
      <c r="W73" s="266" t="s">
        <v>1443</v>
      </c>
      <c r="X73" s="267">
        <v>76</v>
      </c>
      <c r="Y73" s="268">
        <v>1</v>
      </c>
    </row>
    <row r="74" spans="1:25">
      <c r="A74" s="2">
        <v>63</v>
      </c>
      <c r="B74" s="14" t="s">
        <v>1667</v>
      </c>
      <c r="C74" s="1" t="s">
        <v>1668</v>
      </c>
      <c r="L74" t="str">
        <f t="shared" si="6"/>
        <v>TCRSF000 Steel</v>
      </c>
      <c r="M74" s="1" t="s">
        <v>518</v>
      </c>
      <c r="N74" s="192" t="s">
        <v>543</v>
      </c>
      <c r="O74" s="1" t="s">
        <v>519</v>
      </c>
      <c r="P74" s="3">
        <v>62</v>
      </c>
      <c r="R74" s="166" t="s">
        <v>843</v>
      </c>
      <c r="S74" s="166" t="s">
        <v>844</v>
      </c>
      <c r="T74" s="166" t="s">
        <v>845</v>
      </c>
      <c r="U74" t="str">
        <f t="shared" si="4"/>
        <v>GNF Guinean Franc</v>
      </c>
      <c r="W74" s="263" t="s">
        <v>1444</v>
      </c>
      <c r="X74" s="264">
        <v>49</v>
      </c>
      <c r="Y74" s="265">
        <v>0</v>
      </c>
    </row>
    <row r="75" spans="1:25" ht="25.5">
      <c r="A75" s="2">
        <v>64</v>
      </c>
      <c r="B75" s="14" t="s">
        <v>286</v>
      </c>
      <c r="C75" t="s">
        <v>155</v>
      </c>
      <c r="L75" t="str">
        <f t="shared" si="6"/>
        <v>TCRSLC00 Billets / Slabs</v>
      </c>
      <c r="M75" s="1" t="s">
        <v>520</v>
      </c>
      <c r="N75" s="192" t="s">
        <v>589</v>
      </c>
      <c r="O75" s="1" t="s">
        <v>521</v>
      </c>
      <c r="P75" s="3">
        <v>63</v>
      </c>
      <c r="R75" s="166" t="s">
        <v>846</v>
      </c>
      <c r="S75" s="166" t="s">
        <v>847</v>
      </c>
      <c r="T75" s="166" t="s">
        <v>848</v>
      </c>
      <c r="U75" t="str">
        <f t="shared" si="4"/>
        <v>GRD Greek Drachma</v>
      </c>
      <c r="W75" s="273" t="s">
        <v>1875</v>
      </c>
      <c r="X75" s="270">
        <v>162</v>
      </c>
      <c r="Y75" s="271">
        <v>100</v>
      </c>
    </row>
    <row r="76" spans="1:25">
      <c r="A76" s="2">
        <v>65</v>
      </c>
      <c r="B76" s="14" t="s">
        <v>1248</v>
      </c>
      <c r="C76" s="1" t="s">
        <v>1247</v>
      </c>
      <c r="L76" t="str">
        <f t="shared" si="6"/>
        <v>TCSAC000 Coal</v>
      </c>
      <c r="M76" s="1" t="s">
        <v>522</v>
      </c>
      <c r="N76" s="192" t="s">
        <v>579</v>
      </c>
      <c r="O76" s="1" t="s">
        <v>523</v>
      </c>
      <c r="P76" s="3">
        <v>64</v>
      </c>
      <c r="R76" s="166" t="s">
        <v>849</v>
      </c>
      <c r="S76" s="166" t="s">
        <v>850</v>
      </c>
      <c r="T76" s="166" t="s">
        <v>851</v>
      </c>
      <c r="U76" t="str">
        <f t="shared" si="4"/>
        <v>GTQ Guatemalan Quetzal</v>
      </c>
      <c r="W76" s="263" t="s">
        <v>1389</v>
      </c>
      <c r="X76" s="264">
        <v>1</v>
      </c>
      <c r="Y76" s="265">
        <v>0</v>
      </c>
    </row>
    <row r="77" spans="1:25">
      <c r="A77" s="2">
        <v>66</v>
      </c>
      <c r="B77" s="14" t="s">
        <v>1791</v>
      </c>
      <c r="C77" s="1" t="s">
        <v>172</v>
      </c>
      <c r="E77" s="4"/>
      <c r="L77" t="str">
        <f t="shared" si="6"/>
        <v>TCSAX000 Lime</v>
      </c>
      <c r="M77" s="1" t="s">
        <v>524</v>
      </c>
      <c r="N77" s="192" t="s">
        <v>580</v>
      </c>
      <c r="O77" s="1" t="s">
        <v>525</v>
      </c>
      <c r="P77" s="3">
        <v>65</v>
      </c>
      <c r="R77" s="166" t="s">
        <v>852</v>
      </c>
      <c r="S77" s="166" t="s">
        <v>853</v>
      </c>
      <c r="T77" s="166" t="s">
        <v>854</v>
      </c>
      <c r="U77" t="str">
        <f t="shared" ref="U77:U108" si="7">CONCATENATE(R77&amp;" "&amp;IF(Language=$B$12,S77,T77))</f>
        <v>GWP Guinea Peso</v>
      </c>
      <c r="W77" s="266" t="s">
        <v>1445</v>
      </c>
      <c r="X77" s="267">
        <v>130</v>
      </c>
      <c r="Y77" s="268">
        <v>1</v>
      </c>
    </row>
    <row r="78" spans="1:25">
      <c r="A78" s="2">
        <v>67</v>
      </c>
      <c r="B78" s="14" t="s">
        <v>257</v>
      </c>
      <c r="C78" t="s">
        <v>14</v>
      </c>
      <c r="E78" s="13"/>
      <c r="L78" t="str">
        <f t="shared" si="6"/>
        <v>TCSC0000 Primary Material</v>
      </c>
      <c r="M78" s="1" t="s">
        <v>526</v>
      </c>
      <c r="N78" s="192" t="s">
        <v>590</v>
      </c>
      <c r="O78" s="1" t="s">
        <v>527</v>
      </c>
      <c r="P78" s="3">
        <v>66</v>
      </c>
      <c r="R78" s="166" t="s">
        <v>855</v>
      </c>
      <c r="S78" s="166" t="s">
        <v>856</v>
      </c>
      <c r="T78" s="166" t="s">
        <v>857</v>
      </c>
      <c r="U78" t="str">
        <f t="shared" si="7"/>
        <v>GYD Guyana Dollar</v>
      </c>
      <c r="W78" s="263" t="s">
        <v>1446</v>
      </c>
      <c r="X78" s="264">
        <v>42</v>
      </c>
      <c r="Y78" s="265">
        <v>0</v>
      </c>
    </row>
    <row r="79" spans="1:25">
      <c r="A79" s="2">
        <v>68</v>
      </c>
      <c r="B79" s="14" t="s">
        <v>159</v>
      </c>
      <c r="C79" t="s">
        <v>159</v>
      </c>
      <c r="E79" s="14"/>
      <c r="F79" s="4"/>
      <c r="L79" t="str">
        <f t="shared" si="6"/>
        <v>TCSG0000 Technical Gases</v>
      </c>
      <c r="M79" s="1" t="s">
        <v>528</v>
      </c>
      <c r="N79" s="192" t="s">
        <v>537</v>
      </c>
      <c r="O79" s="1" t="s">
        <v>529</v>
      </c>
      <c r="P79" s="3">
        <v>67</v>
      </c>
      <c r="R79" s="166" t="s">
        <v>858</v>
      </c>
      <c r="S79" s="166" t="s">
        <v>859</v>
      </c>
      <c r="T79" s="166" t="s">
        <v>859</v>
      </c>
      <c r="U79" t="str">
        <f t="shared" si="7"/>
        <v>HKD Hong Kong Dollar</v>
      </c>
      <c r="W79" s="266" t="s">
        <v>1447</v>
      </c>
      <c r="X79" s="267">
        <v>108</v>
      </c>
      <c r="Y79" s="268">
        <v>1</v>
      </c>
    </row>
    <row r="80" spans="1:25">
      <c r="A80" s="2">
        <v>69</v>
      </c>
      <c r="B80" s="4" t="s">
        <v>288</v>
      </c>
      <c r="C80" s="1" t="s">
        <v>158</v>
      </c>
      <c r="E80" s="14"/>
      <c r="F80" s="14"/>
      <c r="G80" s="1"/>
      <c r="H80" s="1"/>
      <c r="K80" s="4"/>
      <c r="L80" t="str">
        <f t="shared" si="6"/>
        <v>TCSSA000 Scrap Puchasing</v>
      </c>
      <c r="M80" s="1" t="s">
        <v>530</v>
      </c>
      <c r="N80" s="192" t="s">
        <v>581</v>
      </c>
      <c r="O80" s="1" t="s">
        <v>531</v>
      </c>
      <c r="P80" s="3">
        <v>68</v>
      </c>
      <c r="R80" s="166" t="s">
        <v>860</v>
      </c>
      <c r="S80" s="166" t="s">
        <v>861</v>
      </c>
      <c r="T80" s="166" t="s">
        <v>862</v>
      </c>
      <c r="U80" t="str">
        <f t="shared" si="7"/>
        <v>HNL Honduran Lempira</v>
      </c>
      <c r="W80" s="266" t="s">
        <v>1448</v>
      </c>
      <c r="X80" s="267">
        <v>115</v>
      </c>
      <c r="Y80" s="268">
        <v>1</v>
      </c>
    </row>
    <row r="81" spans="1:25">
      <c r="A81" s="2">
        <v>70</v>
      </c>
      <c r="B81" s="14" t="s">
        <v>1280</v>
      </c>
      <c r="C81" s="4" t="s">
        <v>1281</v>
      </c>
      <c r="E81" s="14"/>
      <c r="F81" s="14"/>
      <c r="G81" s="10"/>
      <c r="H81" s="10"/>
      <c r="J81" s="4"/>
      <c r="K81" s="5"/>
      <c r="L81" t="str">
        <f t="shared" si="6"/>
        <v>TCT00000 Tooling</v>
      </c>
      <c r="M81" s="1" t="s">
        <v>532</v>
      </c>
      <c r="N81" s="192" t="s">
        <v>538</v>
      </c>
      <c r="O81" s="1" t="s">
        <v>533</v>
      </c>
      <c r="P81" s="3">
        <v>69</v>
      </c>
      <c r="R81" s="166" t="s">
        <v>863</v>
      </c>
      <c r="S81" s="166" t="s">
        <v>864</v>
      </c>
      <c r="T81" s="166" t="s">
        <v>865</v>
      </c>
      <c r="U81" t="str">
        <f t="shared" si="7"/>
        <v>HRK Croatian kuna</v>
      </c>
      <c r="W81" s="269" t="s">
        <v>1449</v>
      </c>
      <c r="X81" s="270">
        <v>108</v>
      </c>
      <c r="Y81" s="271">
        <v>100</v>
      </c>
    </row>
    <row r="82" spans="1:25">
      <c r="A82" s="2">
        <v>71</v>
      </c>
      <c r="B82" s="14" t="s">
        <v>258</v>
      </c>
      <c r="C82" s="5" t="s">
        <v>17</v>
      </c>
      <c r="F82" s="1"/>
      <c r="G82" s="10"/>
      <c r="H82" s="14"/>
      <c r="J82" s="5"/>
      <c r="K82" s="5"/>
      <c r="R82" s="166" t="s">
        <v>866</v>
      </c>
      <c r="S82" s="166" t="s">
        <v>867</v>
      </c>
      <c r="T82" s="166" t="s">
        <v>868</v>
      </c>
      <c r="U82" t="str">
        <f t="shared" si="7"/>
        <v>HTG Haitian Gourde</v>
      </c>
      <c r="W82" s="266" t="s">
        <v>1450</v>
      </c>
      <c r="X82" s="267">
        <v>126</v>
      </c>
      <c r="Y82" s="268">
        <v>1</v>
      </c>
    </row>
    <row r="83" spans="1:25">
      <c r="A83" s="2">
        <v>72</v>
      </c>
      <c r="B83" s="14" t="s">
        <v>287</v>
      </c>
      <c r="C83" s="5" t="s">
        <v>19</v>
      </c>
      <c r="F83" s="1"/>
      <c r="G83" s="1"/>
      <c r="H83" s="1"/>
      <c r="J83" s="5"/>
      <c r="K83" s="1"/>
      <c r="R83" s="166" t="s">
        <v>869</v>
      </c>
      <c r="S83" s="166" t="s">
        <v>870</v>
      </c>
      <c r="T83" s="166" t="s">
        <v>871</v>
      </c>
      <c r="U83" t="str">
        <f t="shared" si="7"/>
        <v>HUF Hungarian Forint</v>
      </c>
      <c r="W83" s="266" t="s">
        <v>1451</v>
      </c>
      <c r="X83" s="267">
        <v>172</v>
      </c>
      <c r="Y83" s="268">
        <v>1</v>
      </c>
    </row>
    <row r="84" spans="1:25">
      <c r="A84" s="2">
        <v>73</v>
      </c>
      <c r="B84" s="14" t="s">
        <v>350</v>
      </c>
      <c r="C84" t="s">
        <v>20</v>
      </c>
      <c r="G84" s="1"/>
      <c r="H84" s="1"/>
      <c r="J84" s="1"/>
      <c r="K84" s="17"/>
      <c r="R84" s="166" t="s">
        <v>872</v>
      </c>
      <c r="S84" s="166" t="s">
        <v>873</v>
      </c>
      <c r="T84" s="166" t="s">
        <v>874</v>
      </c>
      <c r="U84" t="str">
        <f t="shared" si="7"/>
        <v>IDR Indonesian Rupiah</v>
      </c>
      <c r="W84" s="266" t="s">
        <v>1452</v>
      </c>
      <c r="X84" s="267">
        <v>161</v>
      </c>
      <c r="Y84" s="268">
        <v>1</v>
      </c>
    </row>
    <row r="85" spans="1:25">
      <c r="A85" s="2">
        <v>74</v>
      </c>
      <c r="B85" s="14" t="s">
        <v>1327</v>
      </c>
      <c r="C85" t="s">
        <v>18</v>
      </c>
      <c r="J85" s="17"/>
      <c r="L85" s="10"/>
      <c r="M85" s="10"/>
      <c r="R85" s="166" t="s">
        <v>875</v>
      </c>
      <c r="S85" s="166" t="s">
        <v>876</v>
      </c>
      <c r="T85" s="166" t="s">
        <v>877</v>
      </c>
      <c r="U85" t="str">
        <f t="shared" si="7"/>
        <v>IEP Irish Punt</v>
      </c>
      <c r="W85" s="263" t="s">
        <v>1453</v>
      </c>
      <c r="X85" s="264">
        <v>12</v>
      </c>
      <c r="Y85" s="265">
        <v>0</v>
      </c>
    </row>
    <row r="86" spans="1:25">
      <c r="A86" s="2">
        <v>75</v>
      </c>
      <c r="B86" s="14" t="s">
        <v>259</v>
      </c>
      <c r="C86" t="s">
        <v>259</v>
      </c>
      <c r="L86" s="10"/>
      <c r="M86" s="5"/>
      <c r="R86" s="166" t="s">
        <v>878</v>
      </c>
      <c r="S86" s="166" t="s">
        <v>879</v>
      </c>
      <c r="T86" s="166" t="s">
        <v>880</v>
      </c>
      <c r="U86" t="str">
        <f t="shared" si="7"/>
        <v>ILS Israeli Scheckel</v>
      </c>
      <c r="W86" s="266" t="s">
        <v>1454</v>
      </c>
      <c r="X86" s="267">
        <v>130</v>
      </c>
      <c r="Y86" s="268">
        <v>1</v>
      </c>
    </row>
    <row r="87" spans="1:25">
      <c r="A87" s="2">
        <v>76</v>
      </c>
      <c r="B87" s="14" t="s">
        <v>260</v>
      </c>
      <c r="C87" t="s">
        <v>160</v>
      </c>
      <c r="F87" s="4"/>
      <c r="L87" s="1"/>
      <c r="M87" s="1"/>
      <c r="R87" s="166" t="s">
        <v>881</v>
      </c>
      <c r="S87" s="166" t="s">
        <v>882</v>
      </c>
      <c r="T87" s="166" t="s">
        <v>882</v>
      </c>
      <c r="U87" t="str">
        <f t="shared" si="7"/>
        <v>INR Indian Rupee</v>
      </c>
      <c r="W87" s="266" t="s">
        <v>1455</v>
      </c>
      <c r="X87" s="267">
        <v>98</v>
      </c>
      <c r="Y87" s="268">
        <v>1</v>
      </c>
    </row>
    <row r="88" spans="1:25">
      <c r="A88" s="2">
        <v>77</v>
      </c>
      <c r="B88" s="4" t="s">
        <v>161</v>
      </c>
      <c r="C88" s="4" t="s">
        <v>161</v>
      </c>
      <c r="F88" s="13"/>
      <c r="G88" s="10"/>
      <c r="H88" s="18"/>
      <c r="K88" s="4"/>
      <c r="R88" s="166" t="s">
        <v>883</v>
      </c>
      <c r="S88" s="166" t="s">
        <v>884</v>
      </c>
      <c r="T88" s="166" t="s">
        <v>885</v>
      </c>
      <c r="U88" t="str">
        <f t="shared" si="7"/>
        <v>IQD Iraqui Dinar</v>
      </c>
      <c r="W88" s="266" t="s">
        <v>1835</v>
      </c>
      <c r="X88" s="267">
        <v>53</v>
      </c>
      <c r="Y88" s="268">
        <v>1</v>
      </c>
    </row>
    <row r="89" spans="1:25">
      <c r="A89" s="2">
        <v>78</v>
      </c>
      <c r="B89" s="13" t="s">
        <v>1677</v>
      </c>
      <c r="C89" s="13" t="s">
        <v>1678</v>
      </c>
      <c r="F89" s="14"/>
      <c r="G89" s="13"/>
      <c r="H89" s="18"/>
      <c r="J89" s="4"/>
      <c r="K89" s="13"/>
      <c r="R89" s="166" t="s">
        <v>886</v>
      </c>
      <c r="S89" s="166" t="s">
        <v>887</v>
      </c>
      <c r="T89" s="166" t="s">
        <v>888</v>
      </c>
      <c r="U89" t="str">
        <f t="shared" si="7"/>
        <v>IRR Iranian Rial</v>
      </c>
      <c r="W89" s="266" t="s">
        <v>1456</v>
      </c>
      <c r="X89" s="267">
        <v>136</v>
      </c>
      <c r="Y89" s="268">
        <v>1</v>
      </c>
    </row>
    <row r="90" spans="1:25">
      <c r="A90" s="2">
        <v>79</v>
      </c>
      <c r="B90" s="14" t="s">
        <v>1299</v>
      </c>
      <c r="C90" s="4" t="s">
        <v>1298</v>
      </c>
      <c r="F90" s="14"/>
      <c r="J90" s="13"/>
      <c r="K90" s="1"/>
      <c r="R90" s="166" t="s">
        <v>889</v>
      </c>
      <c r="S90" s="166" t="s">
        <v>890</v>
      </c>
      <c r="T90" s="166" t="s">
        <v>891</v>
      </c>
      <c r="U90" t="str">
        <f t="shared" si="7"/>
        <v>ISK Iceland Krona</v>
      </c>
      <c r="W90" s="266" t="s">
        <v>1457</v>
      </c>
      <c r="X90" s="267">
        <v>98</v>
      </c>
      <c r="Y90" s="268">
        <v>1</v>
      </c>
    </row>
    <row r="91" spans="1:25">
      <c r="A91" s="2">
        <v>80</v>
      </c>
      <c r="B91" s="14" t="s">
        <v>1332</v>
      </c>
      <c r="C91" s="1" t="s">
        <v>1333</v>
      </c>
      <c r="F91" s="14"/>
      <c r="J91" s="1"/>
      <c r="R91" s="166" t="s">
        <v>892</v>
      </c>
      <c r="S91" s="166" t="s">
        <v>893</v>
      </c>
      <c r="T91" s="166" t="s">
        <v>894</v>
      </c>
      <c r="U91" t="str">
        <f t="shared" si="7"/>
        <v>ITL Italian Lira</v>
      </c>
      <c r="W91" s="263" t="s">
        <v>1458</v>
      </c>
      <c r="X91" s="264">
        <v>49</v>
      </c>
      <c r="Y91" s="265">
        <v>0</v>
      </c>
    </row>
    <row r="92" spans="1:25">
      <c r="A92" s="2">
        <v>81</v>
      </c>
      <c r="B92" s="14" t="s">
        <v>261</v>
      </c>
      <c r="C92" t="s">
        <v>116</v>
      </c>
      <c r="G92" s="1"/>
      <c r="H92" s="14"/>
      <c r="L92" s="10"/>
      <c r="M92" s="10"/>
      <c r="R92" s="166" t="s">
        <v>895</v>
      </c>
      <c r="S92" s="166" t="s">
        <v>896</v>
      </c>
      <c r="T92" s="166" t="s">
        <v>897</v>
      </c>
      <c r="U92" t="str">
        <f t="shared" si="7"/>
        <v>JMD Jamaican Dollar</v>
      </c>
      <c r="W92" s="266" t="s">
        <v>1459</v>
      </c>
      <c r="X92" s="267">
        <v>70</v>
      </c>
      <c r="Y92" s="268">
        <v>1</v>
      </c>
    </row>
    <row r="93" spans="1:25">
      <c r="A93" s="2">
        <v>82</v>
      </c>
      <c r="B93" s="1" t="s">
        <v>165</v>
      </c>
      <c r="C93" s="1" t="s">
        <v>165</v>
      </c>
      <c r="D93" s="1"/>
      <c r="L93" s="13"/>
      <c r="M93" s="10"/>
      <c r="R93" s="166" t="s">
        <v>898</v>
      </c>
      <c r="S93" s="166" t="s">
        <v>899</v>
      </c>
      <c r="T93" s="166" t="s">
        <v>900</v>
      </c>
      <c r="U93" t="str">
        <f t="shared" si="7"/>
        <v>JOD Jordanian Dinar</v>
      </c>
      <c r="W93" s="266" t="s">
        <v>1460</v>
      </c>
      <c r="X93" s="267">
        <v>59</v>
      </c>
      <c r="Y93" s="268">
        <v>1</v>
      </c>
    </row>
    <row r="94" spans="1:25">
      <c r="A94" s="2">
        <v>83</v>
      </c>
      <c r="B94" s="1" t="s">
        <v>164</v>
      </c>
      <c r="C94" s="1" t="s">
        <v>164</v>
      </c>
      <c r="R94" s="166" t="s">
        <v>901</v>
      </c>
      <c r="S94" s="166" t="s">
        <v>902</v>
      </c>
      <c r="T94" s="166" t="s">
        <v>903</v>
      </c>
      <c r="U94" t="str">
        <f t="shared" si="7"/>
        <v>JPY Japanese Yen</v>
      </c>
      <c r="W94" s="263" t="s">
        <v>1461</v>
      </c>
      <c r="X94" s="264">
        <v>49</v>
      </c>
      <c r="Y94" s="265">
        <v>0</v>
      </c>
    </row>
    <row r="95" spans="1:25">
      <c r="A95" s="2">
        <v>84</v>
      </c>
      <c r="B95" s="1" t="s">
        <v>354</v>
      </c>
      <c r="C95" s="1" t="s">
        <v>109</v>
      </c>
      <c r="D95" s="1"/>
      <c r="R95" s="166" t="s">
        <v>904</v>
      </c>
      <c r="S95" s="166" t="s">
        <v>905</v>
      </c>
      <c r="T95" s="166" t="s">
        <v>906</v>
      </c>
      <c r="U95" t="str">
        <f t="shared" si="7"/>
        <v>KES Kenyan Shilling</v>
      </c>
      <c r="W95" s="266" t="s">
        <v>1462</v>
      </c>
      <c r="X95" s="267">
        <v>154</v>
      </c>
      <c r="Y95" s="268">
        <v>1</v>
      </c>
    </row>
    <row r="96" spans="1:25">
      <c r="A96" s="2">
        <v>85</v>
      </c>
      <c r="B96" s="1" t="s">
        <v>162</v>
      </c>
      <c r="C96" s="1" t="s">
        <v>162</v>
      </c>
      <c r="D96" s="1"/>
      <c r="R96" s="166" t="s">
        <v>907</v>
      </c>
      <c r="S96" s="166" t="s">
        <v>908</v>
      </c>
      <c r="T96" s="166" t="s">
        <v>909</v>
      </c>
      <c r="U96" t="str">
        <f t="shared" si="7"/>
        <v>KGS Kyrgyzstan Som</v>
      </c>
      <c r="W96" s="269" t="s">
        <v>1463</v>
      </c>
      <c r="X96" s="270">
        <v>141</v>
      </c>
      <c r="Y96" s="271">
        <v>100</v>
      </c>
    </row>
    <row r="97" spans="1:25">
      <c r="A97" s="2">
        <v>86</v>
      </c>
      <c r="B97" s="1" t="s">
        <v>1300</v>
      </c>
      <c r="C97" s="1" t="s">
        <v>1301</v>
      </c>
      <c r="D97" s="1"/>
      <c r="R97" s="166" t="s">
        <v>910</v>
      </c>
      <c r="S97" s="166" t="s">
        <v>911</v>
      </c>
      <c r="T97" s="166" t="s">
        <v>912</v>
      </c>
      <c r="U97" t="str">
        <f t="shared" si="7"/>
        <v>KHR Cambodian Riel</v>
      </c>
      <c r="W97" s="269" t="s">
        <v>1836</v>
      </c>
      <c r="X97" s="270">
        <v>158</v>
      </c>
      <c r="Y97" s="271">
        <v>100</v>
      </c>
    </row>
    <row r="98" spans="1:25">
      <c r="A98" s="2">
        <v>87</v>
      </c>
      <c r="B98" s="1" t="s">
        <v>163</v>
      </c>
      <c r="C98" s="1" t="s">
        <v>163</v>
      </c>
      <c r="D98" s="1"/>
      <c r="E98" s="24"/>
      <c r="R98" s="166" t="s">
        <v>913</v>
      </c>
      <c r="S98" s="166" t="s">
        <v>914</v>
      </c>
      <c r="T98" s="166" t="s">
        <v>915</v>
      </c>
      <c r="U98" t="str">
        <f t="shared" si="7"/>
        <v>KMF Comoros Franc</v>
      </c>
      <c r="W98" s="266" t="s">
        <v>1464</v>
      </c>
      <c r="X98" s="267">
        <v>87</v>
      </c>
      <c r="Y98" s="268">
        <v>1</v>
      </c>
    </row>
    <row r="99" spans="1:25">
      <c r="A99" s="2">
        <v>88</v>
      </c>
      <c r="B99" s="14" t="s">
        <v>355</v>
      </c>
      <c r="C99" s="1" t="s">
        <v>173</v>
      </c>
      <c r="E99" s="23"/>
      <c r="R99" s="166" t="s">
        <v>916</v>
      </c>
      <c r="S99" s="166" t="s">
        <v>917</v>
      </c>
      <c r="T99" s="166" t="s">
        <v>918</v>
      </c>
      <c r="U99" t="str">
        <f t="shared" si="7"/>
        <v>KPW North Korean Won</v>
      </c>
      <c r="W99" s="269" t="s">
        <v>1465</v>
      </c>
      <c r="X99" s="270">
        <v>172</v>
      </c>
      <c r="Y99" s="271">
        <v>100</v>
      </c>
    </row>
    <row r="100" spans="1:25">
      <c r="A100" s="2">
        <v>89</v>
      </c>
      <c r="B100" t="s">
        <v>262</v>
      </c>
      <c r="C100" s="1" t="s">
        <v>166</v>
      </c>
      <c r="E100" s="23"/>
      <c r="R100" s="166" t="s">
        <v>919</v>
      </c>
      <c r="S100" s="166" t="s">
        <v>920</v>
      </c>
      <c r="T100" s="166" t="s">
        <v>921</v>
      </c>
      <c r="U100" t="str">
        <f t="shared" si="7"/>
        <v>KRW South Korean Won</v>
      </c>
      <c r="W100" s="266" t="s">
        <v>1466</v>
      </c>
      <c r="X100" s="267">
        <v>154</v>
      </c>
      <c r="Y100" s="268">
        <v>1</v>
      </c>
    </row>
    <row r="101" spans="1:25">
      <c r="A101" s="2">
        <v>90</v>
      </c>
      <c r="B101" s="14" t="s">
        <v>263</v>
      </c>
      <c r="C101" s="1" t="s">
        <v>21</v>
      </c>
      <c r="E101" s="23"/>
      <c r="R101" s="166" t="s">
        <v>922</v>
      </c>
      <c r="S101" s="166" t="s">
        <v>923</v>
      </c>
      <c r="T101" s="166" t="s">
        <v>924</v>
      </c>
      <c r="U101" t="str">
        <f t="shared" si="7"/>
        <v>KWD Kuwaiti Dinar</v>
      </c>
      <c r="W101" s="263" t="s">
        <v>1467</v>
      </c>
      <c r="X101" s="264">
        <v>14</v>
      </c>
      <c r="Y101" s="265">
        <v>0</v>
      </c>
    </row>
    <row r="102" spans="1:25">
      <c r="A102" s="2">
        <v>91</v>
      </c>
      <c r="B102" s="14" t="s">
        <v>22</v>
      </c>
      <c r="C102" s="1" t="s">
        <v>22</v>
      </c>
      <c r="E102" s="24"/>
      <c r="R102" s="166" t="s">
        <v>925</v>
      </c>
      <c r="S102" s="166" t="s">
        <v>926</v>
      </c>
      <c r="T102" s="166" t="s">
        <v>927</v>
      </c>
      <c r="U102" t="str">
        <f t="shared" si="7"/>
        <v>KYD Cayman Dollar</v>
      </c>
      <c r="W102" s="263" t="s">
        <v>1468</v>
      </c>
      <c r="X102" s="264">
        <v>19</v>
      </c>
      <c r="Y102" s="265">
        <v>0</v>
      </c>
    </row>
    <row r="103" spans="1:25">
      <c r="A103" s="2">
        <v>92</v>
      </c>
      <c r="B103" s="14" t="s">
        <v>264</v>
      </c>
      <c r="C103" s="1" t="s">
        <v>33</v>
      </c>
      <c r="E103" s="24"/>
      <c r="R103" s="166" t="s">
        <v>928</v>
      </c>
      <c r="S103" s="166" t="s">
        <v>929</v>
      </c>
      <c r="T103" s="166" t="s">
        <v>930</v>
      </c>
      <c r="U103" t="str">
        <f t="shared" si="7"/>
        <v>KZT Kazakstanian Tenge</v>
      </c>
      <c r="W103" s="266" t="s">
        <v>1469</v>
      </c>
      <c r="X103" s="267">
        <v>115</v>
      </c>
      <c r="Y103" s="268">
        <v>1</v>
      </c>
    </row>
    <row r="104" spans="1:25">
      <c r="A104" s="2">
        <v>93</v>
      </c>
      <c r="B104" s="14" t="s">
        <v>265</v>
      </c>
      <c r="C104" s="1" t="s">
        <v>23</v>
      </c>
      <c r="E104" s="23"/>
      <c r="R104" s="166" t="s">
        <v>931</v>
      </c>
      <c r="S104" s="166" t="s">
        <v>932</v>
      </c>
      <c r="T104" s="166" t="s">
        <v>933</v>
      </c>
      <c r="U104" t="str">
        <f t="shared" si="7"/>
        <v>LAK Laotian Kip</v>
      </c>
      <c r="W104" s="269" t="s">
        <v>1470</v>
      </c>
      <c r="X104" s="270">
        <v>149</v>
      </c>
      <c r="Y104" s="271">
        <v>100</v>
      </c>
    </row>
    <row r="105" spans="1:25">
      <c r="A105" s="2">
        <v>94</v>
      </c>
      <c r="B105" s="14" t="s">
        <v>1660</v>
      </c>
      <c r="C105" s="1" t="s">
        <v>167</v>
      </c>
      <c r="E105" s="23"/>
      <c r="R105" s="166" t="s">
        <v>934</v>
      </c>
      <c r="S105" s="166" t="s">
        <v>935</v>
      </c>
      <c r="T105" s="166" t="s">
        <v>936</v>
      </c>
      <c r="U105" t="str">
        <f t="shared" si="7"/>
        <v>LBP Lebanese Pound</v>
      </c>
      <c r="W105" s="269" t="s">
        <v>1471</v>
      </c>
      <c r="X105" s="270">
        <v>154</v>
      </c>
      <c r="Y105" s="271">
        <v>100</v>
      </c>
    </row>
    <row r="106" spans="1:25">
      <c r="A106" s="2">
        <v>95</v>
      </c>
      <c r="B106" s="14" t="s">
        <v>289</v>
      </c>
      <c r="C106" s="1" t="s">
        <v>24</v>
      </c>
      <c r="R106" s="166" t="s">
        <v>937</v>
      </c>
      <c r="S106" s="166" t="s">
        <v>938</v>
      </c>
      <c r="T106" s="166" t="s">
        <v>939</v>
      </c>
      <c r="U106" t="str">
        <f t="shared" si="7"/>
        <v>LKR Sri Lankan Rupee</v>
      </c>
      <c r="W106" s="263" t="s">
        <v>1472</v>
      </c>
      <c r="X106" s="264">
        <v>11</v>
      </c>
      <c r="Y106" s="265">
        <v>0</v>
      </c>
    </row>
    <row r="107" spans="1:25">
      <c r="A107" s="2">
        <v>96</v>
      </c>
      <c r="B107" s="14" t="s">
        <v>169</v>
      </c>
      <c r="C107" s="1" t="s">
        <v>168</v>
      </c>
      <c r="R107" s="166" t="s">
        <v>940</v>
      </c>
      <c r="S107" s="166" t="s">
        <v>941</v>
      </c>
      <c r="T107" s="166" t="s">
        <v>942</v>
      </c>
      <c r="U107" t="str">
        <f t="shared" si="7"/>
        <v>LRD Liberian Dollar</v>
      </c>
      <c r="W107" s="263" t="s">
        <v>1473</v>
      </c>
      <c r="X107" s="264">
        <v>33</v>
      </c>
      <c r="Y107" s="265">
        <v>0</v>
      </c>
    </row>
    <row r="108" spans="1:25">
      <c r="A108" s="2">
        <v>97</v>
      </c>
      <c r="B108" s="14" t="s">
        <v>266</v>
      </c>
      <c r="C108" s="1" t="s">
        <v>170</v>
      </c>
      <c r="R108" s="166" t="s">
        <v>943</v>
      </c>
      <c r="S108" s="166" t="s">
        <v>944</v>
      </c>
      <c r="T108" s="166" t="s">
        <v>945</v>
      </c>
      <c r="U108" t="str">
        <f t="shared" si="7"/>
        <v>LSL Lesotho Loti</v>
      </c>
      <c r="W108" s="263" t="s">
        <v>1474</v>
      </c>
      <c r="X108" s="264">
        <v>42</v>
      </c>
      <c r="Y108" s="265">
        <v>0</v>
      </c>
    </row>
    <row r="109" spans="1:25">
      <c r="A109" s="2">
        <v>98</v>
      </c>
      <c r="B109" s="14" t="s">
        <v>356</v>
      </c>
      <c r="C109" s="15" t="s">
        <v>32</v>
      </c>
      <c r="D109" s="24"/>
      <c r="R109" s="166" t="s">
        <v>946</v>
      </c>
      <c r="S109" s="166" t="s">
        <v>947</v>
      </c>
      <c r="T109" s="166" t="s">
        <v>948</v>
      </c>
      <c r="U109" t="str">
        <f t="shared" ref="U109:U140" si="8">CONCATENATE(R109&amp;" "&amp;IF(Language=$B$12,S109,T109))</f>
        <v>LTL Lithuanian Lita</v>
      </c>
      <c r="W109" s="266" t="s">
        <v>1876</v>
      </c>
      <c r="X109" s="267">
        <v>87</v>
      </c>
      <c r="Y109" s="268">
        <v>1</v>
      </c>
    </row>
    <row r="110" spans="1:25">
      <c r="A110" s="2">
        <v>99</v>
      </c>
      <c r="B110" s="14" t="s">
        <v>290</v>
      </c>
      <c r="C110" s="16" t="s">
        <v>25</v>
      </c>
      <c r="D110" s="23"/>
      <c r="R110" s="166" t="s">
        <v>949</v>
      </c>
      <c r="S110" s="166" t="s">
        <v>950</v>
      </c>
      <c r="T110" s="166" t="s">
        <v>951</v>
      </c>
      <c r="U110" t="str">
        <f t="shared" si="8"/>
        <v>LUF Luxembourg Franc</v>
      </c>
      <c r="W110" s="266" t="s">
        <v>1475</v>
      </c>
      <c r="X110" s="267">
        <v>69</v>
      </c>
      <c r="Y110" s="268">
        <v>1</v>
      </c>
    </row>
    <row r="111" spans="1:25">
      <c r="A111" s="2">
        <v>100</v>
      </c>
      <c r="B111" s="14" t="s">
        <v>291</v>
      </c>
      <c r="C111" s="16" t="s">
        <v>113</v>
      </c>
      <c r="D111" s="23"/>
      <c r="R111" s="166" t="s">
        <v>952</v>
      </c>
      <c r="S111" s="166" t="s">
        <v>953</v>
      </c>
      <c r="T111" s="166" t="s">
        <v>954</v>
      </c>
      <c r="U111" t="str">
        <f t="shared" si="8"/>
        <v>LVL Latvian Lat</v>
      </c>
      <c r="W111" s="266" t="s">
        <v>1476</v>
      </c>
      <c r="X111" s="267">
        <v>63</v>
      </c>
      <c r="Y111" s="268">
        <v>1</v>
      </c>
    </row>
    <row r="112" spans="1:25">
      <c r="A112" s="2">
        <v>101</v>
      </c>
      <c r="B112" s="14" t="s">
        <v>292</v>
      </c>
      <c r="C112" s="16" t="s">
        <v>114</v>
      </c>
      <c r="D112" s="23"/>
      <c r="R112" s="166" t="s">
        <v>955</v>
      </c>
      <c r="S112" s="166" t="s">
        <v>956</v>
      </c>
      <c r="T112" s="166" t="s">
        <v>957</v>
      </c>
      <c r="U112" t="str">
        <f t="shared" si="8"/>
        <v>LYD Libyan Dinar</v>
      </c>
      <c r="W112" s="266" t="s">
        <v>1477</v>
      </c>
      <c r="X112" s="267">
        <v>93</v>
      </c>
      <c r="Y112" s="268">
        <v>1</v>
      </c>
    </row>
    <row r="113" spans="1:25">
      <c r="A113" s="2">
        <v>102</v>
      </c>
      <c r="B113" s="14" t="s">
        <v>293</v>
      </c>
      <c r="C113" s="15" t="s">
        <v>174</v>
      </c>
      <c r="D113" s="24"/>
      <c r="R113" s="166" t="s">
        <v>958</v>
      </c>
      <c r="S113" s="166" t="s">
        <v>959</v>
      </c>
      <c r="T113" s="166" t="s">
        <v>960</v>
      </c>
      <c r="U113" t="str">
        <f t="shared" si="8"/>
        <v>MAD Moroccan Dirham</v>
      </c>
      <c r="W113" s="266" t="s">
        <v>1478</v>
      </c>
      <c r="X113" s="267">
        <v>126</v>
      </c>
      <c r="Y113" s="268">
        <v>1</v>
      </c>
    </row>
    <row r="114" spans="1:25">
      <c r="A114" s="2">
        <v>103</v>
      </c>
      <c r="B114" s="14" t="s">
        <v>294</v>
      </c>
      <c r="C114" s="15" t="s">
        <v>175</v>
      </c>
      <c r="D114" s="24"/>
      <c r="R114" s="166" t="s">
        <v>961</v>
      </c>
      <c r="S114" s="166" t="s">
        <v>962</v>
      </c>
      <c r="T114" s="166" t="s">
        <v>963</v>
      </c>
      <c r="U114" t="str">
        <f t="shared" si="8"/>
        <v>MDL Moldavian Leu</v>
      </c>
      <c r="W114" s="266" t="s">
        <v>1479</v>
      </c>
      <c r="X114" s="267">
        <v>83</v>
      </c>
      <c r="Y114" s="268">
        <v>1</v>
      </c>
    </row>
    <row r="115" spans="1:25">
      <c r="A115" s="2">
        <v>104</v>
      </c>
      <c r="B115" s="14" t="s">
        <v>26</v>
      </c>
      <c r="C115" s="16" t="s">
        <v>26</v>
      </c>
      <c r="D115" s="23"/>
      <c r="R115" s="166" t="s">
        <v>964</v>
      </c>
      <c r="S115" s="166" t="s">
        <v>965</v>
      </c>
      <c r="T115" s="166" t="s">
        <v>966</v>
      </c>
      <c r="U115" t="str">
        <f t="shared" si="8"/>
        <v>MGF Madagascan Franc</v>
      </c>
      <c r="W115" s="266" t="s">
        <v>1480</v>
      </c>
      <c r="X115" s="267">
        <v>63</v>
      </c>
      <c r="Y115" s="268">
        <v>1</v>
      </c>
    </row>
    <row r="116" spans="1:25">
      <c r="A116" s="2">
        <v>105</v>
      </c>
      <c r="B116" t="s">
        <v>269</v>
      </c>
      <c r="C116" s="16" t="s">
        <v>27</v>
      </c>
      <c r="D116" s="23"/>
      <c r="R116" s="166" t="s">
        <v>967</v>
      </c>
      <c r="S116" s="166" t="s">
        <v>968</v>
      </c>
      <c r="T116" s="166" t="s">
        <v>969</v>
      </c>
      <c r="U116" t="str">
        <f t="shared" si="8"/>
        <v>MKD Macedonian Denar</v>
      </c>
      <c r="W116" s="266" t="s">
        <v>1481</v>
      </c>
      <c r="X116" s="267">
        <v>141</v>
      </c>
      <c r="Y116" s="268">
        <v>1</v>
      </c>
    </row>
    <row r="117" spans="1:25">
      <c r="A117" s="2">
        <v>106</v>
      </c>
      <c r="B117" t="s">
        <v>270</v>
      </c>
      <c r="C117" s="16" t="s">
        <v>176</v>
      </c>
      <c r="R117" s="166" t="s">
        <v>970</v>
      </c>
      <c r="S117" s="166" t="s">
        <v>971</v>
      </c>
      <c r="T117" s="166" t="s">
        <v>971</v>
      </c>
      <c r="U117" t="str">
        <f t="shared" si="8"/>
        <v>MMK Myanmar Kyat</v>
      </c>
      <c r="W117" s="266" t="s">
        <v>1482</v>
      </c>
      <c r="X117" s="267">
        <v>136</v>
      </c>
      <c r="Y117" s="268">
        <v>1</v>
      </c>
    </row>
    <row r="118" spans="1:25">
      <c r="A118" s="2">
        <v>107</v>
      </c>
      <c r="B118" t="s">
        <v>271</v>
      </c>
      <c r="C118" s="16" t="s">
        <v>177</v>
      </c>
      <c r="E118" s="140"/>
      <c r="R118" s="166" t="s">
        <v>972</v>
      </c>
      <c r="S118" s="166" t="s">
        <v>973</v>
      </c>
      <c r="T118" s="166" t="s">
        <v>974</v>
      </c>
      <c r="U118" t="str">
        <f t="shared" si="8"/>
        <v>MNT Mongolian Tugrik</v>
      </c>
      <c r="W118" s="263" t="s">
        <v>1483</v>
      </c>
      <c r="X118" s="264">
        <v>36</v>
      </c>
      <c r="Y118" s="265">
        <v>0</v>
      </c>
    </row>
    <row r="119" spans="1:25">
      <c r="A119" s="2">
        <v>108</v>
      </c>
      <c r="B119" t="s">
        <v>272</v>
      </c>
      <c r="C119" s="16" t="s">
        <v>178</v>
      </c>
      <c r="R119" s="166" t="s">
        <v>975</v>
      </c>
      <c r="S119" s="166" t="s">
        <v>976</v>
      </c>
      <c r="T119" s="166" t="s">
        <v>977</v>
      </c>
      <c r="U119" t="str">
        <f t="shared" si="8"/>
        <v>MOP Macao Pataca</v>
      </c>
      <c r="W119" s="269" t="s">
        <v>1484</v>
      </c>
      <c r="X119" s="270">
        <v>149</v>
      </c>
      <c r="Y119" s="271">
        <v>100</v>
      </c>
    </row>
    <row r="120" spans="1:25">
      <c r="A120" s="2">
        <v>109</v>
      </c>
      <c r="B120" s="1" t="s">
        <v>1379</v>
      </c>
      <c r="C120" s="1" t="s">
        <v>1380</v>
      </c>
      <c r="E120" s="140"/>
      <c r="R120" s="166" t="s">
        <v>978</v>
      </c>
      <c r="S120" s="166" t="s">
        <v>979</v>
      </c>
      <c r="T120" s="166" t="s">
        <v>980</v>
      </c>
      <c r="U120" t="str">
        <f t="shared" si="8"/>
        <v>MRO Mauritanian Ouguiya</v>
      </c>
      <c r="W120" s="266" t="s">
        <v>1485</v>
      </c>
      <c r="X120" s="267">
        <v>93</v>
      </c>
      <c r="Y120" s="268">
        <v>1</v>
      </c>
    </row>
    <row r="121" spans="1:25">
      <c r="A121" s="2">
        <v>110</v>
      </c>
      <c r="B121" s="1" t="s">
        <v>1378</v>
      </c>
      <c r="C121" s="1" t="s">
        <v>1377</v>
      </c>
      <c r="E121" s="140"/>
      <c r="R121" s="166" t="s">
        <v>981</v>
      </c>
      <c r="S121" s="166" t="s">
        <v>982</v>
      </c>
      <c r="T121" s="166" t="s">
        <v>983</v>
      </c>
      <c r="U121" t="str">
        <f t="shared" si="8"/>
        <v>MTL Maltese Lira</v>
      </c>
      <c r="W121" s="266" t="s">
        <v>1486</v>
      </c>
      <c r="X121" s="267">
        <v>145</v>
      </c>
      <c r="Y121" s="268">
        <v>1</v>
      </c>
    </row>
    <row r="122" spans="1:25">
      <c r="A122" s="2">
        <v>111</v>
      </c>
      <c r="B122" t="s">
        <v>273</v>
      </c>
      <c r="C122" t="s">
        <v>179</v>
      </c>
      <c r="E122" s="140"/>
      <c r="R122" s="166" t="s">
        <v>984</v>
      </c>
      <c r="S122" s="166" t="s">
        <v>985</v>
      </c>
      <c r="T122" s="166" t="s">
        <v>986</v>
      </c>
      <c r="U122" t="str">
        <f t="shared" si="8"/>
        <v>MUR Mauritian Rupee</v>
      </c>
      <c r="W122" s="269" t="s">
        <v>1487</v>
      </c>
      <c r="X122" s="270">
        <v>170</v>
      </c>
      <c r="Y122" s="271">
        <v>100</v>
      </c>
    </row>
    <row r="123" spans="1:25">
      <c r="A123" s="2">
        <v>112</v>
      </c>
      <c r="B123" s="1" t="s">
        <v>1302</v>
      </c>
      <c r="C123" s="1" t="s">
        <v>1303</v>
      </c>
      <c r="R123" s="166" t="s">
        <v>987</v>
      </c>
      <c r="S123" s="166" t="s">
        <v>988</v>
      </c>
      <c r="T123" s="166" t="s">
        <v>989</v>
      </c>
      <c r="U123" t="str">
        <f t="shared" si="8"/>
        <v>MVR Maldive Rufiyaa</v>
      </c>
      <c r="W123" s="263" t="s">
        <v>1488</v>
      </c>
      <c r="X123" s="264">
        <v>34</v>
      </c>
      <c r="Y123" s="265">
        <v>0</v>
      </c>
    </row>
    <row r="124" spans="1:25">
      <c r="A124" s="2">
        <v>113</v>
      </c>
      <c r="B124" s="1" t="s">
        <v>396</v>
      </c>
      <c r="C124" t="s">
        <v>180</v>
      </c>
      <c r="E124" s="140"/>
      <c r="R124" s="166" t="s">
        <v>990</v>
      </c>
      <c r="S124" s="166" t="s">
        <v>991</v>
      </c>
      <c r="T124" s="166" t="s">
        <v>992</v>
      </c>
      <c r="U124" t="str">
        <f t="shared" si="8"/>
        <v>MWK Malawi Kwacha</v>
      </c>
      <c r="W124" s="263" t="s">
        <v>1489</v>
      </c>
      <c r="X124" s="264">
        <v>9</v>
      </c>
      <c r="Y124" s="265">
        <v>0</v>
      </c>
    </row>
    <row r="125" spans="1:25">
      <c r="A125" s="2">
        <v>114</v>
      </c>
      <c r="B125" s="1" t="s">
        <v>1355</v>
      </c>
      <c r="C125" t="s">
        <v>214</v>
      </c>
      <c r="R125" s="166" t="s">
        <v>993</v>
      </c>
      <c r="S125" s="166" t="s">
        <v>994</v>
      </c>
      <c r="T125" s="166" t="s">
        <v>995</v>
      </c>
      <c r="U125" t="str">
        <f t="shared" si="8"/>
        <v>MXN Mexican Pesos</v>
      </c>
      <c r="W125" s="266" t="s">
        <v>1490</v>
      </c>
      <c r="X125" s="267">
        <v>145</v>
      </c>
      <c r="Y125" s="268">
        <v>1</v>
      </c>
    </row>
    <row r="126" spans="1:25">
      <c r="A126" s="2">
        <v>115</v>
      </c>
      <c r="B126" s="1" t="s">
        <v>1356</v>
      </c>
      <c r="C126" t="s">
        <v>1359</v>
      </c>
      <c r="E126" s="140"/>
      <c r="R126" s="166" t="s">
        <v>996</v>
      </c>
      <c r="S126" s="166" t="s">
        <v>997</v>
      </c>
      <c r="T126" s="166" t="s">
        <v>998</v>
      </c>
      <c r="U126" t="str">
        <f t="shared" si="8"/>
        <v>MYR Malaysian Ringgit</v>
      </c>
      <c r="W126" s="266" t="s">
        <v>1491</v>
      </c>
      <c r="X126" s="267">
        <v>115</v>
      </c>
      <c r="Y126" s="268">
        <v>1</v>
      </c>
    </row>
    <row r="127" spans="1:25">
      <c r="A127" s="2">
        <v>116</v>
      </c>
      <c r="B127" s="1" t="s">
        <v>1357</v>
      </c>
      <c r="C127" t="s">
        <v>1360</v>
      </c>
      <c r="E127" s="140"/>
      <c r="R127" s="166" t="s">
        <v>999</v>
      </c>
      <c r="S127" s="166" t="s">
        <v>1000</v>
      </c>
      <c r="T127" s="166" t="s">
        <v>1001</v>
      </c>
      <c r="U127" t="str">
        <f t="shared" si="8"/>
        <v>MZM Mozambique Metical</v>
      </c>
      <c r="W127" s="266" t="s">
        <v>1492</v>
      </c>
      <c r="X127" s="267">
        <v>57</v>
      </c>
      <c r="Y127" s="268">
        <v>1</v>
      </c>
    </row>
    <row r="128" spans="1:25">
      <c r="A128" s="2">
        <v>117</v>
      </c>
      <c r="B128" t="s">
        <v>274</v>
      </c>
      <c r="C128" s="1" t="s">
        <v>98</v>
      </c>
      <c r="E128" s="140"/>
      <c r="R128" s="166" t="s">
        <v>1002</v>
      </c>
      <c r="S128" s="166" t="s">
        <v>1003</v>
      </c>
      <c r="T128" s="166" t="s">
        <v>1004</v>
      </c>
      <c r="U128" t="str">
        <f t="shared" si="8"/>
        <v>NAD Namibian Dollar</v>
      </c>
      <c r="W128" s="266" t="s">
        <v>1493</v>
      </c>
      <c r="X128" s="267">
        <v>93</v>
      </c>
      <c r="Y128" s="268">
        <v>1</v>
      </c>
    </row>
    <row r="129" spans="1:25" ht="12.75" customHeight="1">
      <c r="A129" s="2">
        <v>118</v>
      </c>
      <c r="B129" t="s">
        <v>357</v>
      </c>
      <c r="C129" s="15" t="s">
        <v>99</v>
      </c>
      <c r="D129" s="140"/>
      <c r="R129" s="166" t="s">
        <v>1005</v>
      </c>
      <c r="S129" s="166" t="s">
        <v>1006</v>
      </c>
      <c r="T129" s="166" t="s">
        <v>1007</v>
      </c>
      <c r="U129" t="str">
        <f t="shared" si="8"/>
        <v>NGN Nigerian Naira</v>
      </c>
      <c r="W129" s="269" t="s">
        <v>1494</v>
      </c>
      <c r="X129" s="270">
        <v>136</v>
      </c>
      <c r="Y129" s="271">
        <v>100</v>
      </c>
    </row>
    <row r="130" spans="1:25" ht="12.75" customHeight="1">
      <c r="A130" s="2">
        <v>119</v>
      </c>
      <c r="B130" t="s">
        <v>1633</v>
      </c>
      <c r="C130" s="15" t="s">
        <v>1632</v>
      </c>
      <c r="E130" s="140"/>
      <c r="R130" s="166" t="s">
        <v>1008</v>
      </c>
      <c r="S130" s="166" t="s">
        <v>1009</v>
      </c>
      <c r="T130" s="166" t="s">
        <v>1010</v>
      </c>
      <c r="U130" t="str">
        <f t="shared" si="8"/>
        <v>NIO Nicaraguan Cordoba Oro</v>
      </c>
      <c r="W130" s="266" t="s">
        <v>1495</v>
      </c>
      <c r="X130" s="267">
        <v>55</v>
      </c>
      <c r="Y130" s="268">
        <v>1</v>
      </c>
    </row>
    <row r="131" spans="1:25" ht="12.75" customHeight="1">
      <c r="A131" s="2">
        <v>120</v>
      </c>
      <c r="B131" t="s">
        <v>275</v>
      </c>
      <c r="C131" s="15" t="s">
        <v>1234</v>
      </c>
      <c r="D131" s="140"/>
      <c r="R131" s="166" t="s">
        <v>1011</v>
      </c>
      <c r="S131" s="166" t="s">
        <v>1012</v>
      </c>
      <c r="T131" s="166" t="s">
        <v>1013</v>
      </c>
      <c r="U131" t="str">
        <f t="shared" si="8"/>
        <v>NLG Dutch Guilder</v>
      </c>
      <c r="W131" s="266" t="s">
        <v>1496</v>
      </c>
      <c r="X131" s="267">
        <v>130</v>
      </c>
      <c r="Y131" s="268">
        <v>1</v>
      </c>
    </row>
    <row r="132" spans="1:25">
      <c r="A132" s="2">
        <v>121</v>
      </c>
      <c r="B132" t="s">
        <v>276</v>
      </c>
      <c r="C132" s="15" t="s">
        <v>103</v>
      </c>
      <c r="D132" s="140"/>
      <c r="E132" s="140"/>
      <c r="R132" s="166" t="s">
        <v>1014</v>
      </c>
      <c r="S132" s="166" t="s">
        <v>1015</v>
      </c>
      <c r="T132" s="166" t="s">
        <v>1016</v>
      </c>
      <c r="U132" t="str">
        <f t="shared" si="8"/>
        <v>NOK Norwegian Krone</v>
      </c>
      <c r="W132" s="266" t="s">
        <v>1497</v>
      </c>
      <c r="X132" s="267">
        <v>55</v>
      </c>
      <c r="Y132" s="268">
        <v>1</v>
      </c>
    </row>
    <row r="133" spans="1:25">
      <c r="A133" s="2">
        <v>122</v>
      </c>
      <c r="B133" t="s">
        <v>298</v>
      </c>
      <c r="C133" s="15" t="s">
        <v>100</v>
      </c>
      <c r="D133" s="140"/>
      <c r="E133" s="140"/>
      <c r="R133" s="166" t="s">
        <v>1017</v>
      </c>
      <c r="S133" s="166" t="s">
        <v>1018</v>
      </c>
      <c r="T133" s="166" t="s">
        <v>1019</v>
      </c>
      <c r="U133" t="str">
        <f t="shared" si="8"/>
        <v>NPR Nepalese Rupee</v>
      </c>
      <c r="W133" s="269" t="s">
        <v>1498</v>
      </c>
      <c r="X133" s="270">
        <v>76</v>
      </c>
      <c r="Y133" s="271">
        <v>100</v>
      </c>
    </row>
    <row r="134" spans="1:25">
      <c r="A134" s="2">
        <v>123</v>
      </c>
      <c r="B134" t="s">
        <v>295</v>
      </c>
      <c r="C134" t="s">
        <v>97</v>
      </c>
      <c r="E134" s="140"/>
      <c r="R134" s="166" t="s">
        <v>1020</v>
      </c>
      <c r="S134" s="166" t="s">
        <v>1021</v>
      </c>
      <c r="T134" s="166" t="s">
        <v>1022</v>
      </c>
      <c r="U134" t="str">
        <f t="shared" si="8"/>
        <v>NZD New Zealand Dollars</v>
      </c>
      <c r="W134" s="266" t="s">
        <v>1499</v>
      </c>
      <c r="X134" s="267">
        <v>121</v>
      </c>
      <c r="Y134" s="268">
        <v>1</v>
      </c>
    </row>
    <row r="135" spans="1:25" ht="12.75" customHeight="1">
      <c r="A135" s="2">
        <v>124</v>
      </c>
      <c r="B135" t="s">
        <v>358</v>
      </c>
      <c r="C135" s="15" t="s">
        <v>106</v>
      </c>
      <c r="D135" s="140"/>
      <c r="R135" s="166" t="s">
        <v>1023</v>
      </c>
      <c r="S135" s="166" t="s">
        <v>1024</v>
      </c>
      <c r="T135" s="166" t="s">
        <v>1025</v>
      </c>
      <c r="U135" t="str">
        <f t="shared" si="8"/>
        <v>OMR Omani Rial</v>
      </c>
      <c r="W135" s="266" t="s">
        <v>1500</v>
      </c>
      <c r="X135" s="267">
        <v>63</v>
      </c>
      <c r="Y135" s="268">
        <v>1</v>
      </c>
    </row>
    <row r="136" spans="1:25" ht="12.75" customHeight="1">
      <c r="A136" s="2">
        <v>125</v>
      </c>
      <c r="B136" t="s">
        <v>300</v>
      </c>
      <c r="C136" s="15" t="s">
        <v>102</v>
      </c>
      <c r="R136" s="166" t="s">
        <v>1026</v>
      </c>
      <c r="S136" s="166" t="s">
        <v>1027</v>
      </c>
      <c r="T136" s="166" t="s">
        <v>1028</v>
      </c>
      <c r="U136" t="str">
        <f t="shared" si="8"/>
        <v>PAB Panamanian Balboa</v>
      </c>
      <c r="W136" s="266" t="s">
        <v>1501</v>
      </c>
      <c r="X136" s="267">
        <v>97</v>
      </c>
      <c r="Y136" s="268">
        <v>1</v>
      </c>
    </row>
    <row r="137" spans="1:25" ht="12.75" customHeight="1">
      <c r="A137" s="2">
        <v>126</v>
      </c>
      <c r="B137" t="s">
        <v>299</v>
      </c>
      <c r="C137" s="15" t="s">
        <v>101</v>
      </c>
      <c r="D137" s="140"/>
      <c r="R137" s="166" t="s">
        <v>1029</v>
      </c>
      <c r="S137" s="166" t="s">
        <v>1030</v>
      </c>
      <c r="T137" s="166" t="s">
        <v>1031</v>
      </c>
      <c r="U137" t="str">
        <f t="shared" si="8"/>
        <v>PEN Peruvian New Sol</v>
      </c>
      <c r="W137" s="266" t="s">
        <v>1502</v>
      </c>
      <c r="X137" s="267">
        <v>145</v>
      </c>
      <c r="Y137" s="268">
        <v>1</v>
      </c>
    </row>
    <row r="138" spans="1:25">
      <c r="A138" s="2">
        <v>127</v>
      </c>
      <c r="B138" t="s">
        <v>301</v>
      </c>
      <c r="C138" s="15" t="s">
        <v>108</v>
      </c>
      <c r="D138" s="140"/>
      <c r="R138" s="166" t="s">
        <v>1032</v>
      </c>
      <c r="S138" s="166" t="s">
        <v>1033</v>
      </c>
      <c r="T138" s="166" t="s">
        <v>1034</v>
      </c>
      <c r="U138" t="str">
        <f t="shared" si="8"/>
        <v>PGK Papua New Guinea Kina</v>
      </c>
      <c r="W138" s="269" t="s">
        <v>1503</v>
      </c>
      <c r="X138" s="270">
        <v>162</v>
      </c>
      <c r="Y138" s="271">
        <v>100</v>
      </c>
    </row>
    <row r="139" spans="1:25">
      <c r="A139" s="2">
        <v>128</v>
      </c>
      <c r="B139" t="s">
        <v>302</v>
      </c>
      <c r="C139" s="15" t="s">
        <v>104</v>
      </c>
      <c r="D139" s="140"/>
      <c r="R139" s="166" t="s">
        <v>1035</v>
      </c>
      <c r="S139" s="166" t="s">
        <v>1036</v>
      </c>
      <c r="T139" s="166" t="s">
        <v>1037</v>
      </c>
      <c r="U139" t="str">
        <f t="shared" si="8"/>
        <v>PHP Philippine Peso</v>
      </c>
      <c r="W139" s="266" t="s">
        <v>1504</v>
      </c>
      <c r="X139" s="267">
        <v>59</v>
      </c>
      <c r="Y139" s="268">
        <v>1</v>
      </c>
    </row>
    <row r="140" spans="1:25">
      <c r="A140" s="2">
        <v>129</v>
      </c>
      <c r="B140" t="s">
        <v>296</v>
      </c>
      <c r="C140" t="s">
        <v>94</v>
      </c>
      <c r="R140" s="166" t="s">
        <v>1038</v>
      </c>
      <c r="S140" s="166" t="s">
        <v>1039</v>
      </c>
      <c r="T140" s="166" t="s">
        <v>1040</v>
      </c>
      <c r="U140" t="str">
        <f t="shared" si="8"/>
        <v>PKR Pakistani Rupee</v>
      </c>
      <c r="W140" s="266" t="s">
        <v>1505</v>
      </c>
      <c r="X140" s="267">
        <v>108</v>
      </c>
      <c r="Y140" s="268">
        <v>1</v>
      </c>
    </row>
    <row r="141" spans="1:25">
      <c r="A141" s="2">
        <v>130</v>
      </c>
      <c r="B141" t="s">
        <v>359</v>
      </c>
      <c r="C141" s="15" t="s">
        <v>105</v>
      </c>
      <c r="D141" s="140"/>
      <c r="R141" s="166" t="s">
        <v>1041</v>
      </c>
      <c r="S141" s="166" t="s">
        <v>1042</v>
      </c>
      <c r="T141" s="166" t="s">
        <v>1043</v>
      </c>
      <c r="U141" t="str">
        <f t="shared" ref="U141:U172" si="9">CONCATENATE(R141&amp;" "&amp;IF(Language=$B$12,S141,T141))</f>
        <v>PLN Polish Zloty (new)</v>
      </c>
      <c r="W141" s="263" t="s">
        <v>1506</v>
      </c>
      <c r="X141" s="264">
        <v>3</v>
      </c>
      <c r="Y141" s="265">
        <v>0</v>
      </c>
    </row>
    <row r="142" spans="1:25" ht="12.75" customHeight="1">
      <c r="A142" s="2">
        <v>131</v>
      </c>
      <c r="B142" s="1" t="s">
        <v>361</v>
      </c>
      <c r="C142" s="15" t="s">
        <v>360</v>
      </c>
      <c r="E142" s="72"/>
      <c r="R142" s="166" t="s">
        <v>1044</v>
      </c>
      <c r="S142" s="166"/>
      <c r="T142" s="166" t="s">
        <v>1045</v>
      </c>
      <c r="U142" t="str">
        <f t="shared" si="9"/>
        <v>PLZ Polish Zloty</v>
      </c>
      <c r="W142" s="269" t="s">
        <v>1507</v>
      </c>
      <c r="X142" s="270">
        <v>172</v>
      </c>
      <c r="Y142" s="271">
        <v>100</v>
      </c>
    </row>
    <row r="143" spans="1:25" ht="12.75" customHeight="1">
      <c r="A143" s="2">
        <v>132</v>
      </c>
      <c r="B143" t="s">
        <v>303</v>
      </c>
      <c r="C143" s="15" t="s">
        <v>1233</v>
      </c>
      <c r="D143" s="140"/>
      <c r="E143" s="72"/>
      <c r="R143" s="166" t="s">
        <v>1046</v>
      </c>
      <c r="S143" s="166" t="s">
        <v>1047</v>
      </c>
      <c r="T143" s="166" t="s">
        <v>1048</v>
      </c>
      <c r="U143" t="str">
        <f t="shared" si="9"/>
        <v>PTE Portuguese Escudo</v>
      </c>
      <c r="W143" s="266" t="s">
        <v>1508</v>
      </c>
      <c r="X143" s="267">
        <v>125</v>
      </c>
      <c r="Y143" s="268">
        <v>1</v>
      </c>
    </row>
    <row r="144" spans="1:25">
      <c r="A144" s="2">
        <v>133</v>
      </c>
      <c r="B144" t="s">
        <v>304</v>
      </c>
      <c r="C144" s="15" t="s">
        <v>107</v>
      </c>
      <c r="D144" s="140"/>
      <c r="R144" s="166" t="s">
        <v>1049</v>
      </c>
      <c r="S144" s="166" t="s">
        <v>1050</v>
      </c>
      <c r="T144" s="166" t="s">
        <v>1051</v>
      </c>
      <c r="U144" t="str">
        <f t="shared" si="9"/>
        <v>PYG Paraguayan Guarani</v>
      </c>
      <c r="W144" s="266" t="s">
        <v>1509</v>
      </c>
      <c r="X144" s="267">
        <v>145</v>
      </c>
      <c r="Y144" s="268">
        <v>1</v>
      </c>
    </row>
    <row r="145" spans="1:25" ht="12.75" customHeight="1">
      <c r="A145" s="2">
        <v>134</v>
      </c>
      <c r="B145" t="s">
        <v>305</v>
      </c>
      <c r="C145" s="15" t="s">
        <v>181</v>
      </c>
      <c r="D145" s="140"/>
      <c r="R145" s="166" t="s">
        <v>1052</v>
      </c>
      <c r="S145" s="166" t="s">
        <v>1053</v>
      </c>
      <c r="T145" s="166" t="s">
        <v>1054</v>
      </c>
      <c r="U145" t="str">
        <f t="shared" si="9"/>
        <v>QAR Qatar Rial</v>
      </c>
      <c r="W145" s="269" t="s">
        <v>1837</v>
      </c>
      <c r="X145" s="270">
        <v>172</v>
      </c>
      <c r="Y145" s="271">
        <v>100</v>
      </c>
    </row>
    <row r="146" spans="1:25">
      <c r="A146" s="2">
        <v>135</v>
      </c>
      <c r="B146" s="1" t="s">
        <v>297</v>
      </c>
      <c r="C146" t="s">
        <v>117</v>
      </c>
      <c r="R146" s="166" t="s">
        <v>1055</v>
      </c>
      <c r="S146" s="166" t="s">
        <v>1056</v>
      </c>
      <c r="T146" s="166" t="s">
        <v>1057</v>
      </c>
      <c r="U146" t="str">
        <f t="shared" si="9"/>
        <v>RMB Chinese Yuan Renminbi</v>
      </c>
      <c r="W146" s="266" t="s">
        <v>1510</v>
      </c>
      <c r="X146" s="267">
        <v>76</v>
      </c>
      <c r="Y146" s="268">
        <v>1</v>
      </c>
    </row>
    <row r="147" spans="1:25">
      <c r="A147" s="2">
        <v>136</v>
      </c>
      <c r="B147" t="s">
        <v>306</v>
      </c>
      <c r="C147" t="s">
        <v>191</v>
      </c>
      <c r="R147" s="166" t="s">
        <v>1058</v>
      </c>
      <c r="S147" s="166" t="s">
        <v>1059</v>
      </c>
      <c r="T147" s="166" t="s">
        <v>1060</v>
      </c>
      <c r="U147" t="str">
        <f t="shared" si="9"/>
        <v>ROL Romanian Leu</v>
      </c>
      <c r="W147" s="266" t="s">
        <v>1511</v>
      </c>
      <c r="X147" s="267">
        <v>70</v>
      </c>
      <c r="Y147" s="268">
        <v>1</v>
      </c>
    </row>
    <row r="148" spans="1:25">
      <c r="A148" s="2">
        <v>137</v>
      </c>
      <c r="B148" s="1" t="s">
        <v>1236</v>
      </c>
      <c r="C148" t="s">
        <v>1235</v>
      </c>
      <c r="R148" s="166" t="s">
        <v>1061</v>
      </c>
      <c r="S148" s="166" t="s">
        <v>1059</v>
      </c>
      <c r="T148" s="166" t="s">
        <v>1062</v>
      </c>
      <c r="U148" t="str">
        <f t="shared" si="9"/>
        <v>RON Romanian Leu New</v>
      </c>
      <c r="W148" s="266" t="s">
        <v>1512</v>
      </c>
      <c r="X148" s="267">
        <v>133</v>
      </c>
      <c r="Y148" s="268">
        <v>1</v>
      </c>
    </row>
    <row r="149" spans="1:25">
      <c r="A149" s="2">
        <v>138</v>
      </c>
      <c r="B149" t="s">
        <v>307</v>
      </c>
      <c r="C149" s="1" t="s">
        <v>204</v>
      </c>
      <c r="R149" s="166" t="s">
        <v>1063</v>
      </c>
      <c r="S149" s="166" t="s">
        <v>1064</v>
      </c>
      <c r="T149" s="166" t="s">
        <v>1065</v>
      </c>
      <c r="U149" t="str">
        <f t="shared" si="9"/>
        <v>RSD Serbian Dinar</v>
      </c>
      <c r="W149" s="266" t="s">
        <v>1513</v>
      </c>
      <c r="X149" s="267">
        <v>108</v>
      </c>
      <c r="Y149" s="268">
        <v>1</v>
      </c>
    </row>
    <row r="150" spans="1:25">
      <c r="A150" s="2">
        <v>139</v>
      </c>
      <c r="B150" s="1" t="s">
        <v>1351</v>
      </c>
      <c r="C150" s="1" t="s">
        <v>1352</v>
      </c>
      <c r="R150" s="166" t="s">
        <v>1066</v>
      </c>
      <c r="S150" s="166" t="s">
        <v>1067</v>
      </c>
      <c r="T150" s="166" t="s">
        <v>1068</v>
      </c>
      <c r="U150" t="str">
        <f t="shared" si="9"/>
        <v>RUB Russian Ruble</v>
      </c>
      <c r="W150" s="266" t="s">
        <v>1514</v>
      </c>
      <c r="X150" s="267">
        <v>133</v>
      </c>
      <c r="Y150" s="268">
        <v>1</v>
      </c>
    </row>
    <row r="151" spans="1:25">
      <c r="A151" s="2">
        <v>140</v>
      </c>
      <c r="B151" t="s">
        <v>308</v>
      </c>
      <c r="C151" t="s">
        <v>88</v>
      </c>
      <c r="R151" s="166" t="s">
        <v>1069</v>
      </c>
      <c r="S151" s="166"/>
      <c r="T151" s="166"/>
      <c r="U151" t="str">
        <f t="shared" si="9"/>
        <v xml:space="preserve">RUE </v>
      </c>
      <c r="W151" s="266" t="s">
        <v>1515</v>
      </c>
      <c r="X151" s="267">
        <v>136</v>
      </c>
      <c r="Y151" s="268">
        <v>1</v>
      </c>
    </row>
    <row r="152" spans="1:25" ht="140.25">
      <c r="A152" s="2">
        <v>141</v>
      </c>
      <c r="B152" s="7" t="s">
        <v>309</v>
      </c>
      <c r="C152" s="17" t="s">
        <v>205</v>
      </c>
      <c r="R152" s="166" t="s">
        <v>1070</v>
      </c>
      <c r="S152" s="166" t="s">
        <v>1071</v>
      </c>
      <c r="T152" s="166" t="s">
        <v>1072</v>
      </c>
      <c r="U152" t="str">
        <f t="shared" si="9"/>
        <v>RWF Rwandan Franc</v>
      </c>
      <c r="W152" s="266" t="s">
        <v>1516</v>
      </c>
      <c r="X152" s="267">
        <v>121</v>
      </c>
      <c r="Y152" s="268">
        <v>1</v>
      </c>
    </row>
    <row r="153" spans="1:25">
      <c r="A153" s="2">
        <v>142</v>
      </c>
      <c r="B153" t="s">
        <v>1636</v>
      </c>
      <c r="C153" s="72" t="s">
        <v>1635</v>
      </c>
      <c r="D153" s="72"/>
      <c r="E153" s="72"/>
      <c r="R153" s="166" t="s">
        <v>1073</v>
      </c>
      <c r="S153" s="166" t="s">
        <v>1074</v>
      </c>
      <c r="T153" s="166" t="s">
        <v>1074</v>
      </c>
      <c r="U153" t="str">
        <f t="shared" si="9"/>
        <v>SAR Saudi Riyal</v>
      </c>
      <c r="W153" s="266" t="s">
        <v>1517</v>
      </c>
      <c r="X153" s="267">
        <v>115</v>
      </c>
      <c r="Y153" s="268">
        <v>1</v>
      </c>
    </row>
    <row r="154" spans="1:25">
      <c r="A154" s="2">
        <v>143</v>
      </c>
      <c r="B154" t="s">
        <v>310</v>
      </c>
      <c r="C154" s="72" t="s">
        <v>192</v>
      </c>
      <c r="D154" s="72"/>
      <c r="E154" s="72"/>
      <c r="R154" s="166" t="s">
        <v>1075</v>
      </c>
      <c r="S154" s="166" t="s">
        <v>1076</v>
      </c>
      <c r="T154" s="166" t="s">
        <v>1077</v>
      </c>
      <c r="U154" s="167" t="str">
        <f t="shared" si="9"/>
        <v>SBD Solomon Islands Dollar</v>
      </c>
      <c r="W154" s="263" t="s">
        <v>1518</v>
      </c>
      <c r="X154" s="264">
        <v>40</v>
      </c>
      <c r="Y154" s="265">
        <v>0</v>
      </c>
    </row>
    <row r="155" spans="1:25">
      <c r="A155" s="2">
        <v>144</v>
      </c>
      <c r="B155" s="1" t="s">
        <v>372</v>
      </c>
      <c r="C155" t="s">
        <v>215</v>
      </c>
      <c r="E155" s="72"/>
      <c r="R155" s="166" t="s">
        <v>1078</v>
      </c>
      <c r="S155" s="166" t="s">
        <v>1079</v>
      </c>
      <c r="T155" s="166" t="s">
        <v>1080</v>
      </c>
      <c r="U155" t="str">
        <f t="shared" si="9"/>
        <v>SCR Seychelles Rupee</v>
      </c>
      <c r="W155" s="266" t="s">
        <v>1519</v>
      </c>
      <c r="X155" s="267">
        <v>63</v>
      </c>
      <c r="Y155" s="268">
        <v>1</v>
      </c>
    </row>
    <row r="156" spans="1:25">
      <c r="A156" s="2">
        <v>145</v>
      </c>
      <c r="B156" t="s">
        <v>311</v>
      </c>
      <c r="C156" t="s">
        <v>52</v>
      </c>
      <c r="E156" s="72"/>
      <c r="R156" s="166" t="s">
        <v>1081</v>
      </c>
      <c r="S156" s="166" t="s">
        <v>1082</v>
      </c>
      <c r="T156" s="166" t="s">
        <v>1083</v>
      </c>
      <c r="U156" t="str">
        <f t="shared" si="9"/>
        <v>SDP Sudanese Pound</v>
      </c>
      <c r="W156" s="263" t="s">
        <v>1520</v>
      </c>
      <c r="X156" s="264">
        <v>49</v>
      </c>
      <c r="Y156" s="265">
        <v>0</v>
      </c>
    </row>
    <row r="157" spans="1:25">
      <c r="A157" s="2">
        <v>146</v>
      </c>
      <c r="B157" s="1" t="s">
        <v>1638</v>
      </c>
      <c r="C157" t="s">
        <v>1637</v>
      </c>
      <c r="E157" s="72"/>
      <c r="R157" s="166" t="s">
        <v>1084</v>
      </c>
      <c r="S157" s="166" t="s">
        <v>1085</v>
      </c>
      <c r="T157" s="166" t="s">
        <v>1086</v>
      </c>
      <c r="U157" t="str">
        <f t="shared" si="9"/>
        <v>SEK Swedish Krona</v>
      </c>
      <c r="W157" s="266" t="s">
        <v>1877</v>
      </c>
      <c r="X157" s="267">
        <v>67</v>
      </c>
      <c r="Y157" s="268">
        <v>1</v>
      </c>
    </row>
    <row r="158" spans="1:25">
      <c r="A158" s="2">
        <v>147</v>
      </c>
      <c r="B158" t="s">
        <v>1640</v>
      </c>
      <c r="C158" t="s">
        <v>1639</v>
      </c>
      <c r="E158" s="72"/>
      <c r="R158" s="166" t="s">
        <v>1087</v>
      </c>
      <c r="S158" s="166" t="s">
        <v>1088</v>
      </c>
      <c r="T158" s="166" t="s">
        <v>1089</v>
      </c>
      <c r="U158" t="str">
        <f t="shared" si="9"/>
        <v>SGD Singapore Dollar</v>
      </c>
      <c r="W158" s="266" t="s">
        <v>1521</v>
      </c>
      <c r="X158" s="267">
        <v>53</v>
      </c>
      <c r="Y158" s="268">
        <v>1</v>
      </c>
    </row>
    <row r="159" spans="1:25">
      <c r="A159" s="2">
        <v>148</v>
      </c>
      <c r="B159" t="s">
        <v>312</v>
      </c>
      <c r="C159" t="s">
        <v>206</v>
      </c>
      <c r="E159" s="72"/>
      <c r="R159" s="166" t="s">
        <v>1090</v>
      </c>
      <c r="S159" s="166" t="s">
        <v>1091</v>
      </c>
      <c r="T159" s="166" t="s">
        <v>1092</v>
      </c>
      <c r="U159" t="str">
        <f t="shared" si="9"/>
        <v>SHP St.Helena Pound</v>
      </c>
      <c r="W159" s="266" t="s">
        <v>1522</v>
      </c>
      <c r="X159" s="267">
        <v>70</v>
      </c>
      <c r="Y159" s="268">
        <v>1</v>
      </c>
    </row>
    <row r="160" spans="1:25">
      <c r="A160" s="2">
        <v>149</v>
      </c>
      <c r="B160" t="s">
        <v>313</v>
      </c>
      <c r="C160" t="s">
        <v>53</v>
      </c>
      <c r="E160" s="72"/>
      <c r="R160" s="166" t="s">
        <v>1093</v>
      </c>
      <c r="S160" s="166" t="s">
        <v>1094</v>
      </c>
      <c r="T160" s="166" t="s">
        <v>1095</v>
      </c>
      <c r="U160" t="str">
        <f t="shared" si="9"/>
        <v>SIT Slovenian Tolar</v>
      </c>
      <c r="W160" s="266" t="s">
        <v>1523</v>
      </c>
      <c r="X160" s="267">
        <v>104</v>
      </c>
      <c r="Y160" s="268">
        <v>1</v>
      </c>
    </row>
    <row r="161" spans="1:25">
      <c r="A161" s="2">
        <v>150</v>
      </c>
      <c r="B161" t="s">
        <v>314</v>
      </c>
      <c r="C161" t="s">
        <v>93</v>
      </c>
      <c r="E161" s="72"/>
      <c r="R161" s="166" t="s">
        <v>1096</v>
      </c>
      <c r="S161" s="166" t="s">
        <v>1097</v>
      </c>
      <c r="T161" s="166" t="s">
        <v>1098</v>
      </c>
      <c r="U161" t="str">
        <f t="shared" si="9"/>
        <v>SKK Slovakian Krona</v>
      </c>
      <c r="W161" s="263" t="s">
        <v>1524</v>
      </c>
      <c r="X161" s="264">
        <v>20</v>
      </c>
      <c r="Y161" s="265">
        <v>0</v>
      </c>
    </row>
    <row r="162" spans="1:25">
      <c r="A162" s="2">
        <v>151</v>
      </c>
      <c r="B162" t="s">
        <v>315</v>
      </c>
      <c r="C162" t="s">
        <v>54</v>
      </c>
      <c r="E162" s="72"/>
      <c r="R162" s="166" t="s">
        <v>1099</v>
      </c>
      <c r="S162" s="166" t="s">
        <v>1100</v>
      </c>
      <c r="T162" s="166" t="s">
        <v>1100</v>
      </c>
      <c r="U162" t="str">
        <f t="shared" si="9"/>
        <v>SLL Sierra Leone Leone</v>
      </c>
      <c r="W162" s="266" t="s">
        <v>1525</v>
      </c>
      <c r="X162" s="267">
        <v>108</v>
      </c>
      <c r="Y162" s="268">
        <v>1</v>
      </c>
    </row>
    <row r="163" spans="1:25">
      <c r="A163" s="2">
        <v>152</v>
      </c>
      <c r="B163" t="s">
        <v>316</v>
      </c>
      <c r="C163" t="s">
        <v>55</v>
      </c>
      <c r="F163" s="75"/>
      <c r="R163" s="166" t="s">
        <v>1101</v>
      </c>
      <c r="S163" s="166" t="s">
        <v>1102</v>
      </c>
      <c r="T163" s="166" t="s">
        <v>1103</v>
      </c>
      <c r="U163" t="str">
        <f t="shared" si="9"/>
        <v>SOS Somalian Shilling</v>
      </c>
      <c r="W163" s="263" t="s">
        <v>1526</v>
      </c>
      <c r="X163" s="264">
        <v>5</v>
      </c>
      <c r="Y163" s="265">
        <v>0</v>
      </c>
    </row>
    <row r="164" spans="1:25" ht="15">
      <c r="A164" s="2">
        <v>153</v>
      </c>
      <c r="B164" t="s">
        <v>317</v>
      </c>
      <c r="C164" s="72" t="s">
        <v>211</v>
      </c>
      <c r="D164" s="72"/>
      <c r="F164" s="73"/>
      <c r="G164" s="75"/>
      <c r="H164" s="75"/>
      <c r="I164" s="75"/>
      <c r="R164" s="166" t="s">
        <v>1104</v>
      </c>
      <c r="S164" s="166" t="s">
        <v>1105</v>
      </c>
      <c r="T164" s="166" t="s">
        <v>1106</v>
      </c>
      <c r="U164" t="str">
        <f t="shared" si="9"/>
        <v>SRG Surinam Guilder</v>
      </c>
      <c r="W164" s="263" t="s">
        <v>1527</v>
      </c>
      <c r="X164" s="264">
        <v>42</v>
      </c>
      <c r="Y164" s="265">
        <v>0</v>
      </c>
    </row>
    <row r="165" spans="1:25" ht="15" customHeight="1">
      <c r="A165" s="2">
        <v>154</v>
      </c>
      <c r="B165" t="s">
        <v>318</v>
      </c>
      <c r="C165" s="72" t="s">
        <v>56</v>
      </c>
      <c r="D165" s="72"/>
      <c r="F165" s="75"/>
      <c r="G165" s="74"/>
      <c r="H165" s="74"/>
      <c r="I165" s="74"/>
      <c r="R165" s="166" t="s">
        <v>1107</v>
      </c>
      <c r="S165" s="166" t="s">
        <v>1108</v>
      </c>
      <c r="T165" s="166" t="s">
        <v>1109</v>
      </c>
      <c r="U165" t="str">
        <f t="shared" si="9"/>
        <v>STD Sao Tome / Principe Dobra</v>
      </c>
      <c r="W165" s="266" t="s">
        <v>1528</v>
      </c>
      <c r="X165" s="267">
        <v>70</v>
      </c>
      <c r="Y165" s="268">
        <v>1</v>
      </c>
    </row>
    <row r="166" spans="1:25" ht="15">
      <c r="A166" s="2">
        <v>155</v>
      </c>
      <c r="B166" t="s">
        <v>1645</v>
      </c>
      <c r="C166" s="72" t="s">
        <v>1644</v>
      </c>
      <c r="D166" s="72"/>
      <c r="F166" s="73"/>
      <c r="G166" s="75"/>
      <c r="H166" s="75"/>
      <c r="I166" s="75"/>
      <c r="R166" s="166" t="s">
        <v>1110</v>
      </c>
      <c r="S166" s="166" t="s">
        <v>1111</v>
      </c>
      <c r="T166" s="166" t="s">
        <v>1112</v>
      </c>
      <c r="U166" t="str">
        <f t="shared" si="9"/>
        <v>SVC El Salvador Colon</v>
      </c>
      <c r="W166" s="269" t="s">
        <v>1529</v>
      </c>
      <c r="X166" s="270">
        <v>180</v>
      </c>
      <c r="Y166" s="271">
        <v>100</v>
      </c>
    </row>
    <row r="167" spans="1:25" ht="15" customHeight="1">
      <c r="A167" s="2">
        <v>156</v>
      </c>
      <c r="B167" t="s">
        <v>1646</v>
      </c>
      <c r="C167" s="72" t="s">
        <v>1647</v>
      </c>
      <c r="D167" s="72"/>
      <c r="F167" s="75"/>
      <c r="G167" s="74"/>
      <c r="H167" s="74"/>
      <c r="I167" s="74"/>
      <c r="R167" s="166" t="s">
        <v>1113</v>
      </c>
      <c r="S167" s="166" t="s">
        <v>1114</v>
      </c>
      <c r="T167" s="166" t="s">
        <v>1115</v>
      </c>
      <c r="U167" t="str">
        <f t="shared" si="9"/>
        <v>SYP Syrian Pound</v>
      </c>
      <c r="W167" s="269" t="s">
        <v>1530</v>
      </c>
      <c r="X167" s="270">
        <v>177</v>
      </c>
      <c r="Y167" s="271">
        <v>100</v>
      </c>
    </row>
    <row r="168" spans="1:25" ht="15">
      <c r="A168" s="2">
        <v>157</v>
      </c>
      <c r="B168" t="s">
        <v>362</v>
      </c>
      <c r="C168" s="72" t="s">
        <v>210</v>
      </c>
      <c r="D168" s="72"/>
      <c r="F168" s="73"/>
      <c r="G168" s="75"/>
      <c r="H168" s="75"/>
      <c r="I168" s="75"/>
      <c r="R168" s="166" t="s">
        <v>1116</v>
      </c>
      <c r="S168" s="166" t="s">
        <v>1117</v>
      </c>
      <c r="T168" s="166" t="s">
        <v>1118</v>
      </c>
      <c r="U168" t="str">
        <f t="shared" si="9"/>
        <v>SZL Swaziland Lilangeni</v>
      </c>
      <c r="W168" s="266" t="s">
        <v>1531</v>
      </c>
      <c r="X168" s="267">
        <v>115</v>
      </c>
      <c r="Y168" s="268">
        <v>1</v>
      </c>
    </row>
    <row r="169" spans="1:25">
      <c r="A169" s="2">
        <v>158</v>
      </c>
      <c r="B169" t="s">
        <v>319</v>
      </c>
      <c r="C169" s="72" t="s">
        <v>57</v>
      </c>
      <c r="D169" s="72"/>
      <c r="F169" s="75"/>
      <c r="G169" s="74"/>
      <c r="H169" s="74"/>
      <c r="I169" s="74"/>
      <c r="R169" s="166" t="s">
        <v>1119</v>
      </c>
      <c r="S169" s="166" t="s">
        <v>1120</v>
      </c>
      <c r="T169" s="166" t="s">
        <v>1121</v>
      </c>
      <c r="U169" t="str">
        <f t="shared" si="9"/>
        <v>THB Thailand Baht</v>
      </c>
      <c r="W169" s="263" t="s">
        <v>1878</v>
      </c>
      <c r="X169" s="264">
        <v>45</v>
      </c>
      <c r="Y169" s="265">
        <v>0</v>
      </c>
    </row>
    <row r="170" spans="1:25" ht="15">
      <c r="A170" s="2">
        <v>159</v>
      </c>
      <c r="B170" t="s">
        <v>1653</v>
      </c>
      <c r="C170" s="72" t="s">
        <v>209</v>
      </c>
      <c r="D170" s="72"/>
      <c r="E170" s="72"/>
      <c r="F170" s="73"/>
      <c r="G170" s="75"/>
      <c r="H170" s="75"/>
      <c r="I170" s="75"/>
      <c r="R170" s="166" t="s">
        <v>1122</v>
      </c>
      <c r="S170" s="166" t="s">
        <v>1123</v>
      </c>
      <c r="T170" s="166" t="s">
        <v>1124</v>
      </c>
      <c r="U170" t="str">
        <f t="shared" si="9"/>
        <v>TJR Tajikistani Ruble</v>
      </c>
      <c r="W170" s="263" t="s">
        <v>1879</v>
      </c>
      <c r="X170" s="264">
        <v>36</v>
      </c>
      <c r="Y170" s="265">
        <v>0</v>
      </c>
    </row>
    <row r="171" spans="1:25">
      <c r="A171" s="2">
        <v>160</v>
      </c>
      <c r="B171" t="s">
        <v>320</v>
      </c>
      <c r="C171" s="72" t="s">
        <v>58</v>
      </c>
      <c r="D171" s="72"/>
      <c r="E171" s="72"/>
      <c r="F171" s="75"/>
      <c r="G171" s="74"/>
      <c r="H171" s="74"/>
      <c r="I171" s="74"/>
      <c r="R171" s="166" t="s">
        <v>1125</v>
      </c>
      <c r="S171" s="166" t="s">
        <v>1126</v>
      </c>
      <c r="T171" s="166" t="s">
        <v>1127</v>
      </c>
      <c r="U171" t="str">
        <f t="shared" si="9"/>
        <v>TMM Turkmenistani Manat</v>
      </c>
      <c r="W171" s="269" t="s">
        <v>1532</v>
      </c>
      <c r="X171" s="270">
        <v>162</v>
      </c>
      <c r="Y171" s="271">
        <v>100</v>
      </c>
    </row>
    <row r="172" spans="1:25" ht="15">
      <c r="A172" s="2">
        <v>161</v>
      </c>
      <c r="B172" t="s">
        <v>321</v>
      </c>
      <c r="C172" s="72" t="s">
        <v>212</v>
      </c>
      <c r="D172" s="72"/>
      <c r="E172" s="72"/>
      <c r="F172" s="73"/>
      <c r="G172" s="75"/>
      <c r="H172" s="75"/>
      <c r="I172" s="75"/>
      <c r="R172" s="166" t="s">
        <v>1128</v>
      </c>
      <c r="S172" s="166" t="s">
        <v>1129</v>
      </c>
      <c r="T172" s="166" t="s">
        <v>1130</v>
      </c>
      <c r="U172" t="str">
        <f t="shared" si="9"/>
        <v>TND Tunisian Dinar</v>
      </c>
      <c r="W172" s="266" t="s">
        <v>1533</v>
      </c>
      <c r="X172" s="267">
        <v>87</v>
      </c>
      <c r="Y172" s="268">
        <v>1</v>
      </c>
    </row>
    <row r="173" spans="1:25" ht="15" customHeight="1">
      <c r="A173" s="2">
        <v>162</v>
      </c>
      <c r="B173" t="s">
        <v>322</v>
      </c>
      <c r="C173" s="72" t="s">
        <v>194</v>
      </c>
      <c r="D173" s="72"/>
      <c r="E173" s="72"/>
      <c r="G173" s="74"/>
      <c r="H173" s="74"/>
      <c r="I173" s="74"/>
      <c r="R173" s="166" t="s">
        <v>1131</v>
      </c>
      <c r="S173" s="166" t="s">
        <v>1132</v>
      </c>
      <c r="T173" s="166" t="s">
        <v>1133</v>
      </c>
      <c r="U173" t="str">
        <f t="shared" ref="U173:U203" si="10">CONCATENATE(R173&amp;" "&amp;IF(Language=$B$12,S173,T173))</f>
        <v>TOP Tongan Pa'anga</v>
      </c>
      <c r="W173" s="269" t="s">
        <v>1534</v>
      </c>
      <c r="X173" s="270">
        <v>177</v>
      </c>
      <c r="Y173" s="271">
        <v>100</v>
      </c>
    </row>
    <row r="174" spans="1:25">
      <c r="A174" s="2">
        <v>163</v>
      </c>
      <c r="B174" t="s">
        <v>323</v>
      </c>
      <c r="C174" t="s">
        <v>89</v>
      </c>
      <c r="E174" s="72"/>
      <c r="R174" s="166" t="s">
        <v>1134</v>
      </c>
      <c r="S174" s="166" t="s">
        <v>1135</v>
      </c>
      <c r="T174" s="166" t="s">
        <v>1135</v>
      </c>
      <c r="U174" t="str">
        <f t="shared" si="10"/>
        <v>TPE Timor Escudo</v>
      </c>
      <c r="W174" s="263" t="s">
        <v>1535</v>
      </c>
      <c r="X174" s="264">
        <v>28</v>
      </c>
      <c r="Y174" s="265">
        <v>0</v>
      </c>
    </row>
    <row r="175" spans="1:25">
      <c r="A175" s="2">
        <v>164</v>
      </c>
      <c r="B175" t="s">
        <v>324</v>
      </c>
      <c r="C175" t="s">
        <v>59</v>
      </c>
      <c r="E175" s="72"/>
      <c r="R175" s="166" t="s">
        <v>1136</v>
      </c>
      <c r="S175" s="166" t="s">
        <v>1137</v>
      </c>
      <c r="T175" s="166" t="s">
        <v>1138</v>
      </c>
      <c r="U175" t="str">
        <f t="shared" si="10"/>
        <v>TRL Turkish Lira</v>
      </c>
      <c r="W175" s="266" t="s">
        <v>1536</v>
      </c>
      <c r="X175" s="267">
        <v>162</v>
      </c>
      <c r="Y175" s="268">
        <v>1</v>
      </c>
    </row>
    <row r="176" spans="1:25">
      <c r="A176" s="2">
        <v>165</v>
      </c>
      <c r="B176" t="s">
        <v>325</v>
      </c>
      <c r="C176" t="s">
        <v>60</v>
      </c>
      <c r="E176" s="78"/>
      <c r="R176" s="166" t="s">
        <v>1139</v>
      </c>
      <c r="S176" s="166" t="s">
        <v>1137</v>
      </c>
      <c r="T176" s="166" t="s">
        <v>1140</v>
      </c>
      <c r="U176" t="str">
        <f t="shared" si="10"/>
        <v>TRY New Turkish Lira</v>
      </c>
      <c r="W176" s="266" t="s">
        <v>1537</v>
      </c>
      <c r="X176" s="267">
        <v>87</v>
      </c>
      <c r="Y176" s="268">
        <v>1</v>
      </c>
    </row>
    <row r="177" spans="1:25">
      <c r="A177" s="2">
        <v>166</v>
      </c>
      <c r="B177" t="s">
        <v>326</v>
      </c>
      <c r="C177" t="s">
        <v>90</v>
      </c>
      <c r="E177" s="72"/>
      <c r="R177" s="166" t="s">
        <v>1141</v>
      </c>
      <c r="S177" s="166" t="s">
        <v>1142</v>
      </c>
      <c r="T177" s="166" t="s">
        <v>1143</v>
      </c>
      <c r="U177" t="str">
        <f t="shared" si="10"/>
        <v>TTD Trinidad and Tobago Dollar</v>
      </c>
      <c r="W177" s="263" t="s">
        <v>1880</v>
      </c>
      <c r="X177" s="264">
        <v>8</v>
      </c>
      <c r="Y177" s="265">
        <v>0</v>
      </c>
    </row>
    <row r="178" spans="1:25" ht="89.25">
      <c r="A178" s="2">
        <v>167</v>
      </c>
      <c r="B178" s="129" t="s">
        <v>363</v>
      </c>
      <c r="C178" s="17" t="s">
        <v>61</v>
      </c>
      <c r="E178" s="72"/>
      <c r="R178" s="166" t="s">
        <v>1144</v>
      </c>
      <c r="S178" s="166" t="s">
        <v>1145</v>
      </c>
      <c r="T178" s="166" t="s">
        <v>1146</v>
      </c>
      <c r="U178" t="str">
        <f t="shared" si="10"/>
        <v>TWD New Taiwan Dollar</v>
      </c>
      <c r="W178" s="266" t="s">
        <v>1538</v>
      </c>
      <c r="X178" s="267">
        <v>70</v>
      </c>
      <c r="Y178" s="268">
        <v>1</v>
      </c>
    </row>
    <row r="179" spans="1:25">
      <c r="A179" s="2">
        <v>168</v>
      </c>
      <c r="B179" t="s">
        <v>327</v>
      </c>
      <c r="C179" t="s">
        <v>62</v>
      </c>
      <c r="E179" s="78"/>
      <c r="R179" s="166" t="s">
        <v>1147</v>
      </c>
      <c r="S179" s="166" t="s">
        <v>1148</v>
      </c>
      <c r="T179" s="166" t="s">
        <v>1149</v>
      </c>
      <c r="U179" t="str">
        <f t="shared" si="10"/>
        <v>TZS Tanzanian Shilling</v>
      </c>
      <c r="W179" s="266" t="s">
        <v>1539</v>
      </c>
      <c r="X179" s="267">
        <v>126</v>
      </c>
      <c r="Y179" s="268">
        <v>1</v>
      </c>
    </row>
    <row r="180" spans="1:25">
      <c r="A180" s="2">
        <v>169</v>
      </c>
      <c r="B180" t="s">
        <v>328</v>
      </c>
      <c r="C180" t="s">
        <v>91</v>
      </c>
      <c r="E180" s="72"/>
      <c r="F180" s="75"/>
      <c r="R180" s="166" t="s">
        <v>1150</v>
      </c>
      <c r="S180" s="166" t="s">
        <v>1151</v>
      </c>
      <c r="T180" s="166" t="s">
        <v>1152</v>
      </c>
      <c r="U180" t="str">
        <f t="shared" si="10"/>
        <v>UAH Ukrainian Hryvnia</v>
      </c>
      <c r="W180" s="266" t="s">
        <v>1540</v>
      </c>
      <c r="X180" s="267">
        <v>76</v>
      </c>
      <c r="Y180" s="268">
        <v>1</v>
      </c>
    </row>
    <row r="181" spans="1:25" ht="12.75" customHeight="1">
      <c r="A181" s="2">
        <v>170</v>
      </c>
      <c r="B181" t="s">
        <v>329</v>
      </c>
      <c r="C181" s="72" t="s">
        <v>216</v>
      </c>
      <c r="D181" s="72"/>
      <c r="E181" s="72"/>
      <c r="F181" s="73"/>
      <c r="G181" s="75"/>
      <c r="H181" s="75"/>
      <c r="I181" s="75"/>
      <c r="R181" s="166" t="s">
        <v>1153</v>
      </c>
      <c r="S181" s="166"/>
      <c r="T181" s="166" t="s">
        <v>1154</v>
      </c>
      <c r="U181" t="str">
        <f t="shared" si="10"/>
        <v>UAK Ukrainian Karbowanez (old)</v>
      </c>
      <c r="W181" s="269" t="s">
        <v>1541</v>
      </c>
      <c r="X181" s="270">
        <v>87</v>
      </c>
      <c r="Y181" s="271">
        <v>100</v>
      </c>
    </row>
    <row r="182" spans="1:25" ht="15" customHeight="1">
      <c r="A182" s="2">
        <v>171</v>
      </c>
      <c r="B182" t="s">
        <v>330</v>
      </c>
      <c r="C182" s="72" t="s">
        <v>63</v>
      </c>
      <c r="D182" s="72"/>
      <c r="E182" s="72"/>
      <c r="F182" s="75"/>
      <c r="G182" s="74"/>
      <c r="H182" s="74"/>
      <c r="I182" s="74"/>
      <c r="R182" s="166" t="s">
        <v>1155</v>
      </c>
      <c r="S182" s="166" t="s">
        <v>1156</v>
      </c>
      <c r="T182" s="166" t="s">
        <v>1157</v>
      </c>
      <c r="U182" t="str">
        <f t="shared" si="10"/>
        <v>UGX Ugandan Shilling</v>
      </c>
      <c r="W182" s="266" t="s">
        <v>1542</v>
      </c>
      <c r="X182" s="267">
        <v>170</v>
      </c>
      <c r="Y182" s="268">
        <v>1</v>
      </c>
    </row>
    <row r="183" spans="1:25" ht="12.75" customHeight="1">
      <c r="A183" s="2">
        <v>172</v>
      </c>
      <c r="B183" t="s">
        <v>331</v>
      </c>
      <c r="C183" s="72" t="s">
        <v>208</v>
      </c>
      <c r="D183" s="72"/>
      <c r="E183" s="72"/>
      <c r="F183" s="73"/>
      <c r="G183" s="75"/>
      <c r="H183" s="75"/>
      <c r="I183" s="75"/>
      <c r="R183" s="166" t="s">
        <v>1158</v>
      </c>
      <c r="S183" s="166" t="s">
        <v>1159</v>
      </c>
      <c r="T183" s="166" t="s">
        <v>1160</v>
      </c>
      <c r="U183" t="str">
        <f t="shared" si="10"/>
        <v>USDN (Internal) United States Dollar (5 Dec.)</v>
      </c>
      <c r="W183" s="266" t="s">
        <v>1543</v>
      </c>
      <c r="X183" s="267">
        <v>141</v>
      </c>
      <c r="Y183" s="268">
        <v>1</v>
      </c>
    </row>
    <row r="184" spans="1:25">
      <c r="A184" s="2">
        <v>173</v>
      </c>
      <c r="B184" t="s">
        <v>332</v>
      </c>
      <c r="C184" s="72" t="s">
        <v>64</v>
      </c>
      <c r="D184" s="72"/>
      <c r="F184" s="75"/>
      <c r="G184" s="74"/>
      <c r="H184" s="74"/>
      <c r="I184" s="74"/>
      <c r="R184" s="166" t="s">
        <v>1161</v>
      </c>
      <c r="S184" s="166" t="s">
        <v>1162</v>
      </c>
      <c r="T184" s="166" t="s">
        <v>1163</v>
      </c>
      <c r="U184" t="str">
        <f t="shared" si="10"/>
        <v>UYU Uruguayan Peso (new)</v>
      </c>
      <c r="W184" s="269" t="s">
        <v>1544</v>
      </c>
      <c r="X184" s="270">
        <v>104</v>
      </c>
      <c r="Y184" s="271">
        <v>100</v>
      </c>
    </row>
    <row r="185" spans="1:25" ht="12.75" customHeight="1">
      <c r="A185" s="2">
        <v>174</v>
      </c>
      <c r="B185" t="s">
        <v>333</v>
      </c>
      <c r="C185" s="72" t="s">
        <v>217</v>
      </c>
      <c r="D185" s="72"/>
      <c r="F185" s="73"/>
      <c r="G185" s="75"/>
      <c r="H185" s="75"/>
      <c r="I185" s="75"/>
      <c r="R185" s="166" t="s">
        <v>1164</v>
      </c>
      <c r="S185" s="166" t="s">
        <v>1165</v>
      </c>
      <c r="T185" s="166" t="s">
        <v>1166</v>
      </c>
      <c r="U185" t="str">
        <f t="shared" si="10"/>
        <v>UZS Uzbekistan Som</v>
      </c>
      <c r="W185" s="263" t="s">
        <v>1545</v>
      </c>
      <c r="X185" s="264">
        <v>26</v>
      </c>
      <c r="Y185" s="265">
        <v>0</v>
      </c>
    </row>
    <row r="186" spans="1:25" ht="15" customHeight="1">
      <c r="A186" s="2">
        <v>175</v>
      </c>
      <c r="B186" t="s">
        <v>334</v>
      </c>
      <c r="C186" s="72" t="s">
        <v>65</v>
      </c>
      <c r="D186" s="72"/>
      <c r="F186" s="76"/>
      <c r="G186" s="74"/>
      <c r="H186" s="74"/>
      <c r="I186" s="74"/>
      <c r="R186" s="166" t="s">
        <v>1167</v>
      </c>
      <c r="S186" s="166" t="s">
        <v>1168</v>
      </c>
      <c r="T186" s="166" t="s">
        <v>1169</v>
      </c>
      <c r="U186" t="str">
        <f t="shared" si="10"/>
        <v>VEB Venezuelan Bolivar</v>
      </c>
      <c r="W186" s="263" t="s">
        <v>1546</v>
      </c>
      <c r="X186" s="264">
        <v>16</v>
      </c>
      <c r="Y186" s="265">
        <v>0</v>
      </c>
    </row>
    <row r="187" spans="1:25">
      <c r="A187" s="2">
        <v>176</v>
      </c>
      <c r="B187" t="s">
        <v>335</v>
      </c>
      <c r="C187" s="78" t="s">
        <v>92</v>
      </c>
      <c r="D187" s="78"/>
      <c r="F187" s="75"/>
      <c r="G187" s="76"/>
      <c r="H187" s="76"/>
      <c r="I187" s="76"/>
      <c r="R187" s="166" t="s">
        <v>1170</v>
      </c>
      <c r="S187" s="166" t="s">
        <v>1171</v>
      </c>
      <c r="T187" s="166" t="s">
        <v>1172</v>
      </c>
      <c r="U187" t="str">
        <f t="shared" si="10"/>
        <v>VND Vietnamese Dong</v>
      </c>
      <c r="W187" s="266" t="s">
        <v>1547</v>
      </c>
      <c r="X187" s="267">
        <v>121</v>
      </c>
      <c r="Y187" s="268">
        <v>1</v>
      </c>
    </row>
    <row r="188" spans="1:25">
      <c r="A188" s="2">
        <v>177</v>
      </c>
      <c r="B188" t="s">
        <v>336</v>
      </c>
      <c r="C188" s="72" t="s">
        <v>218</v>
      </c>
      <c r="D188" s="72"/>
      <c r="F188" s="77"/>
      <c r="G188" s="75"/>
      <c r="H188" s="75"/>
      <c r="I188" s="75"/>
      <c r="R188" s="166" t="s">
        <v>1173</v>
      </c>
      <c r="S188" s="166" t="s">
        <v>1174</v>
      </c>
      <c r="T188" s="166" t="s">
        <v>1175</v>
      </c>
      <c r="U188" t="str">
        <f t="shared" si="10"/>
        <v>VUV Vanuatu Vatu</v>
      </c>
      <c r="W188" s="266" t="s">
        <v>1548</v>
      </c>
      <c r="X188" s="267">
        <v>61</v>
      </c>
      <c r="Y188" s="268">
        <v>1</v>
      </c>
    </row>
    <row r="189" spans="1:25" ht="15.75" customHeight="1">
      <c r="A189" s="2">
        <v>178</v>
      </c>
      <c r="B189" t="s">
        <v>337</v>
      </c>
      <c r="C189" s="72" t="s">
        <v>196</v>
      </c>
      <c r="D189" s="72"/>
      <c r="F189" s="77"/>
      <c r="G189" s="75"/>
      <c r="H189" s="75"/>
      <c r="I189" s="75"/>
      <c r="R189" s="166" t="s">
        <v>1176</v>
      </c>
      <c r="S189" s="166" t="s">
        <v>1177</v>
      </c>
      <c r="T189" s="166" t="s">
        <v>1178</v>
      </c>
      <c r="U189" t="str">
        <f t="shared" si="10"/>
        <v>WST Samoan Tala</v>
      </c>
      <c r="W189" s="269" t="s">
        <v>1549</v>
      </c>
      <c r="X189" s="270">
        <v>177</v>
      </c>
      <c r="Y189" s="271">
        <v>100</v>
      </c>
    </row>
    <row r="190" spans="1:25">
      <c r="A190" s="2">
        <v>179</v>
      </c>
      <c r="B190" t="s">
        <v>364</v>
      </c>
      <c r="C190" s="78" t="s">
        <v>197</v>
      </c>
      <c r="D190" s="78"/>
      <c r="F190" s="72"/>
      <c r="G190" s="72"/>
      <c r="H190" s="72"/>
      <c r="I190" s="72"/>
      <c r="R190" s="166" t="s">
        <v>1179</v>
      </c>
      <c r="S190" s="166" t="s">
        <v>1180</v>
      </c>
      <c r="T190" s="166" t="s">
        <v>1181</v>
      </c>
      <c r="U190" t="str">
        <f t="shared" si="10"/>
        <v>XAF Gabon CFA Franc BEAC</v>
      </c>
      <c r="W190" s="266" t="s">
        <v>1550</v>
      </c>
      <c r="X190" s="267">
        <v>83</v>
      </c>
      <c r="Y190" s="268">
        <v>1</v>
      </c>
    </row>
    <row r="191" spans="1:25" ht="89.25">
      <c r="A191" s="2">
        <v>180</v>
      </c>
      <c r="B191" s="130" t="s">
        <v>338</v>
      </c>
      <c r="C191" s="75" t="s">
        <v>199</v>
      </c>
      <c r="D191" s="72"/>
      <c r="F191" s="72"/>
      <c r="G191" s="72"/>
      <c r="H191" s="72"/>
      <c r="I191" s="72"/>
      <c r="R191" s="166" t="s">
        <v>1182</v>
      </c>
      <c r="S191" s="166" t="s">
        <v>1183</v>
      </c>
      <c r="T191" s="166" t="s">
        <v>1184</v>
      </c>
      <c r="U191" t="str">
        <f t="shared" si="10"/>
        <v>XCD East Carribean Dollar</v>
      </c>
      <c r="W191" s="269" t="s">
        <v>1551</v>
      </c>
      <c r="X191" s="270">
        <v>176</v>
      </c>
      <c r="Y191" s="271">
        <v>100</v>
      </c>
    </row>
    <row r="192" spans="1:25">
      <c r="A192" s="2">
        <v>181</v>
      </c>
      <c r="B192" t="s">
        <v>339</v>
      </c>
      <c r="C192" s="72" t="s">
        <v>207</v>
      </c>
      <c r="D192" s="72"/>
      <c r="F192" s="77"/>
      <c r="G192" s="72"/>
      <c r="H192" s="72"/>
      <c r="I192" s="72"/>
      <c r="R192" s="166" t="s">
        <v>1185</v>
      </c>
      <c r="S192" s="166" t="s">
        <v>1186</v>
      </c>
      <c r="T192" s="166" t="s">
        <v>1186</v>
      </c>
      <c r="U192" t="str">
        <f t="shared" si="10"/>
        <v>XDS St. Christopher Dollar</v>
      </c>
      <c r="W192" s="266" t="s">
        <v>1552</v>
      </c>
      <c r="X192" s="267">
        <v>98</v>
      </c>
      <c r="Y192" s="268">
        <v>1</v>
      </c>
    </row>
    <row r="193" spans="1:25" ht="25.5">
      <c r="A193" s="2">
        <v>182</v>
      </c>
      <c r="B193" s="7" t="s">
        <v>340</v>
      </c>
      <c r="C193" s="75" t="s">
        <v>1562</v>
      </c>
      <c r="D193" s="72"/>
      <c r="F193" s="77"/>
      <c r="G193" s="72"/>
      <c r="H193" s="72"/>
      <c r="I193" s="72"/>
      <c r="R193" s="166" t="s">
        <v>1187</v>
      </c>
      <c r="S193" s="166" t="s">
        <v>1188</v>
      </c>
      <c r="T193" s="166" t="s">
        <v>1189</v>
      </c>
      <c r="U193" t="str">
        <f t="shared" si="10"/>
        <v>XEU European Currency Unit (E.C.U.)</v>
      </c>
      <c r="W193" s="269" t="s">
        <v>1553</v>
      </c>
      <c r="X193" s="270">
        <v>149</v>
      </c>
      <c r="Y193" s="271">
        <v>100</v>
      </c>
    </row>
    <row r="194" spans="1:25">
      <c r="A194" s="2">
        <v>183</v>
      </c>
      <c r="B194" t="s">
        <v>341</v>
      </c>
      <c r="C194" s="72" t="s">
        <v>201</v>
      </c>
      <c r="D194" s="72"/>
      <c r="G194" s="72"/>
      <c r="H194" s="72"/>
      <c r="I194" s="72"/>
      <c r="R194" s="166" t="s">
        <v>1190</v>
      </c>
      <c r="S194" s="166" t="s">
        <v>1191</v>
      </c>
      <c r="T194" s="166" t="s">
        <v>1192</v>
      </c>
      <c r="U194" t="str">
        <f t="shared" si="10"/>
        <v>XOF Benin CFA Franc BCEAO</v>
      </c>
    </row>
    <row r="195" spans="1:25">
      <c r="A195" s="2">
        <v>184</v>
      </c>
      <c r="B195" s="130" t="s">
        <v>342</v>
      </c>
      <c r="C195" t="s">
        <v>202</v>
      </c>
      <c r="R195" s="166" t="s">
        <v>1193</v>
      </c>
      <c r="S195" s="166" t="s">
        <v>1194</v>
      </c>
      <c r="T195" s="166" t="s">
        <v>1194</v>
      </c>
      <c r="U195" t="str">
        <f t="shared" si="10"/>
        <v>XPF CFP Franc</v>
      </c>
    </row>
    <row r="196" spans="1:25">
      <c r="A196" s="2">
        <v>185</v>
      </c>
      <c r="B196" t="s">
        <v>343</v>
      </c>
      <c r="C196" t="s">
        <v>203</v>
      </c>
      <c r="R196" s="166" t="s">
        <v>1195</v>
      </c>
      <c r="S196" s="166" t="s">
        <v>667</v>
      </c>
      <c r="T196" s="166" t="s">
        <v>1196</v>
      </c>
      <c r="U196" t="str">
        <f t="shared" si="10"/>
        <v>YEE Special currency EUR (Russia)</v>
      </c>
    </row>
    <row r="197" spans="1:25">
      <c r="A197" s="2">
        <v>186</v>
      </c>
      <c r="B197" s="130" t="s">
        <v>344</v>
      </c>
      <c r="C197" s="1" t="s">
        <v>222</v>
      </c>
      <c r="R197" s="166" t="s">
        <v>1197</v>
      </c>
      <c r="S197" s="166" t="s">
        <v>1198</v>
      </c>
      <c r="T197" s="166" t="s">
        <v>1199</v>
      </c>
      <c r="U197" t="str">
        <f t="shared" si="10"/>
        <v>YER Yemeni Ryal</v>
      </c>
    </row>
    <row r="198" spans="1:25">
      <c r="A198" s="2">
        <v>187</v>
      </c>
      <c r="B198" t="s">
        <v>345</v>
      </c>
      <c r="C198" s="1" t="s">
        <v>223</v>
      </c>
      <c r="R198" s="166" t="s">
        <v>1200</v>
      </c>
      <c r="S198" s="166" t="s">
        <v>667</v>
      </c>
      <c r="T198" s="166" t="s">
        <v>1201</v>
      </c>
      <c r="U198" t="str">
        <f t="shared" si="10"/>
        <v>YEU Special currency USD (Russia)</v>
      </c>
    </row>
    <row r="199" spans="1:25">
      <c r="A199" s="2">
        <v>188</v>
      </c>
      <c r="B199" s="130" t="s">
        <v>346</v>
      </c>
      <c r="C199" t="s">
        <v>224</v>
      </c>
      <c r="R199" s="166" t="s">
        <v>1202</v>
      </c>
      <c r="S199" s="166" t="s">
        <v>1203</v>
      </c>
      <c r="T199" s="166" t="s">
        <v>1204</v>
      </c>
      <c r="U199" t="str">
        <f t="shared" si="10"/>
        <v>YUM New Yugoslavian Dinar</v>
      </c>
    </row>
    <row r="200" spans="1:25">
      <c r="A200" s="2">
        <v>189</v>
      </c>
      <c r="B200" t="s">
        <v>347</v>
      </c>
      <c r="C200" t="s">
        <v>225</v>
      </c>
      <c r="R200" s="166" t="s">
        <v>1205</v>
      </c>
      <c r="S200" s="166" t="s">
        <v>1206</v>
      </c>
      <c r="T200" s="166" t="s">
        <v>1207</v>
      </c>
      <c r="U200" t="str">
        <f t="shared" si="10"/>
        <v>ZAR South African Rand</v>
      </c>
    </row>
    <row r="201" spans="1:25">
      <c r="A201" s="2">
        <v>190</v>
      </c>
      <c r="B201" s="1" t="s">
        <v>268</v>
      </c>
      <c r="C201" s="1" t="s">
        <v>267</v>
      </c>
      <c r="R201" s="166" t="s">
        <v>1208</v>
      </c>
      <c r="S201" s="166" t="s">
        <v>1209</v>
      </c>
      <c r="T201" s="166" t="s">
        <v>1210</v>
      </c>
      <c r="U201" t="str">
        <f t="shared" si="10"/>
        <v>ZMK Zambian Kwacha</v>
      </c>
    </row>
    <row r="202" spans="1:25">
      <c r="A202" s="2">
        <v>191</v>
      </c>
      <c r="B202" s="1" t="s">
        <v>601</v>
      </c>
      <c r="C202" s="1" t="s">
        <v>229</v>
      </c>
      <c r="R202" s="166" t="s">
        <v>1211</v>
      </c>
      <c r="S202" s="166" t="s">
        <v>1212</v>
      </c>
      <c r="T202" s="166" t="s">
        <v>1212</v>
      </c>
      <c r="U202" t="str">
        <f t="shared" si="10"/>
        <v>ZRN Zaire</v>
      </c>
    </row>
    <row r="203" spans="1:25">
      <c r="A203" s="2">
        <v>192</v>
      </c>
      <c r="B203" s="1" t="s">
        <v>237</v>
      </c>
      <c r="C203" s="1" t="s">
        <v>234</v>
      </c>
      <c r="R203" s="166" t="s">
        <v>1213</v>
      </c>
      <c r="S203" s="166" t="s">
        <v>1214</v>
      </c>
      <c r="T203" s="166" t="s">
        <v>1215</v>
      </c>
      <c r="U203" t="str">
        <f t="shared" si="10"/>
        <v>ZWD Zimbabwean Dollar</v>
      </c>
    </row>
    <row r="204" spans="1:25">
      <c r="A204" s="2">
        <v>193</v>
      </c>
      <c r="B204" s="1" t="s">
        <v>238</v>
      </c>
      <c r="C204" s="1" t="s">
        <v>235</v>
      </c>
    </row>
    <row r="205" spans="1:25">
      <c r="A205" s="2">
        <v>194</v>
      </c>
      <c r="B205" s="1" t="s">
        <v>239</v>
      </c>
      <c r="C205" s="1" t="s">
        <v>236</v>
      </c>
    </row>
    <row r="206" spans="1:25">
      <c r="A206" s="2">
        <v>195</v>
      </c>
      <c r="B206" s="1" t="s">
        <v>400</v>
      </c>
      <c r="C206" s="1" t="s">
        <v>399</v>
      </c>
    </row>
    <row r="207" spans="1:25">
      <c r="A207" s="2">
        <v>196</v>
      </c>
      <c r="B207" s="1" t="s">
        <v>617</v>
      </c>
      <c r="C207" s="1" t="s">
        <v>616</v>
      </c>
    </row>
    <row r="208" spans="1:25">
      <c r="A208" s="2">
        <v>197</v>
      </c>
      <c r="B208" s="1" t="s">
        <v>402</v>
      </c>
      <c r="C208" t="s">
        <v>401</v>
      </c>
    </row>
    <row r="209" spans="1:3">
      <c r="A209" s="2">
        <v>198</v>
      </c>
      <c r="B209" s="1" t="s">
        <v>642</v>
      </c>
      <c r="C209" s="1" t="s">
        <v>643</v>
      </c>
    </row>
    <row r="210" spans="1:3">
      <c r="A210" s="2">
        <v>199</v>
      </c>
      <c r="B210" s="1" t="s">
        <v>1710</v>
      </c>
      <c r="C210" s="1" t="s">
        <v>1711</v>
      </c>
    </row>
    <row r="211" spans="1:3">
      <c r="A211" s="2">
        <v>200</v>
      </c>
      <c r="B211" s="1" t="s">
        <v>1708</v>
      </c>
      <c r="C211" s="1" t="s">
        <v>1709</v>
      </c>
    </row>
    <row r="212" spans="1:3">
      <c r="A212" s="2">
        <v>201</v>
      </c>
      <c r="B212" s="1" t="s">
        <v>404</v>
      </c>
      <c r="C212" t="s">
        <v>403</v>
      </c>
    </row>
    <row r="213" spans="1:3">
      <c r="A213" s="2">
        <v>202</v>
      </c>
      <c r="B213" s="1" t="s">
        <v>624</v>
      </c>
      <c r="C213" s="1" t="s">
        <v>626</v>
      </c>
    </row>
    <row r="214" spans="1:3">
      <c r="A214" s="2">
        <v>203</v>
      </c>
      <c r="B214" t="s">
        <v>1689</v>
      </c>
      <c r="C214" t="s">
        <v>1690</v>
      </c>
    </row>
    <row r="215" spans="1:3">
      <c r="A215" s="2">
        <v>204</v>
      </c>
      <c r="B215" t="s">
        <v>407</v>
      </c>
      <c r="C215" t="s">
        <v>407</v>
      </c>
    </row>
    <row r="216" spans="1:3">
      <c r="A216" s="2">
        <v>205</v>
      </c>
      <c r="B216" s="1" t="s">
        <v>594</v>
      </c>
      <c r="C216" s="1" t="s">
        <v>593</v>
      </c>
    </row>
    <row r="217" spans="1:3">
      <c r="A217" s="2">
        <v>206</v>
      </c>
      <c r="B217" s="1" t="s">
        <v>621</v>
      </c>
      <c r="C217" s="1" t="s">
        <v>622</v>
      </c>
    </row>
    <row r="218" spans="1:3">
      <c r="A218" s="2">
        <v>207</v>
      </c>
      <c r="B218" s="1" t="s">
        <v>1760</v>
      </c>
      <c r="C218" s="1" t="s">
        <v>1761</v>
      </c>
    </row>
    <row r="219" spans="1:3">
      <c r="A219" s="2">
        <v>208</v>
      </c>
      <c r="B219" s="1" t="s">
        <v>596</v>
      </c>
      <c r="C219" s="1" t="s">
        <v>595</v>
      </c>
    </row>
    <row r="220" spans="1:3">
      <c r="A220" s="2">
        <v>209</v>
      </c>
      <c r="B220" s="1" t="s">
        <v>598</v>
      </c>
      <c r="C220" s="1" t="s">
        <v>597</v>
      </c>
    </row>
    <row r="221" spans="1:3">
      <c r="A221" s="2">
        <v>210</v>
      </c>
      <c r="B221" s="1" t="s">
        <v>1624</v>
      </c>
      <c r="C221" s="1" t="s">
        <v>1659</v>
      </c>
    </row>
    <row r="222" spans="1:3">
      <c r="A222" s="2">
        <v>211</v>
      </c>
      <c r="B222" s="1" t="s">
        <v>600</v>
      </c>
      <c r="C222" t="s">
        <v>599</v>
      </c>
    </row>
    <row r="223" spans="1:3">
      <c r="A223" s="2">
        <v>212</v>
      </c>
      <c r="B223" s="1" t="s">
        <v>1559</v>
      </c>
      <c r="C223" s="1" t="s">
        <v>1560</v>
      </c>
    </row>
    <row r="224" spans="1:3">
      <c r="A224" s="2">
        <v>213</v>
      </c>
      <c r="B224" s="1" t="s">
        <v>604</v>
      </c>
      <c r="C224" s="1" t="s">
        <v>605</v>
      </c>
    </row>
    <row r="225" spans="1:3">
      <c r="A225" s="2">
        <v>214</v>
      </c>
      <c r="B225" s="1" t="s">
        <v>603</v>
      </c>
      <c r="C225" s="1" t="s">
        <v>602</v>
      </c>
    </row>
    <row r="226" spans="1:3">
      <c r="A226" s="2">
        <v>215</v>
      </c>
      <c r="B226" s="1" t="s">
        <v>607</v>
      </c>
      <c r="C226" s="1" t="s">
        <v>606</v>
      </c>
    </row>
    <row r="227" spans="1:3">
      <c r="A227" s="2">
        <v>216</v>
      </c>
      <c r="B227" s="1" t="s">
        <v>1611</v>
      </c>
      <c r="C227" s="1" t="s">
        <v>1612</v>
      </c>
    </row>
    <row r="228" spans="1:3">
      <c r="A228" s="2">
        <v>217</v>
      </c>
      <c r="B228" s="1" t="s">
        <v>1687</v>
      </c>
      <c r="C228" s="1" t="s">
        <v>1688</v>
      </c>
    </row>
    <row r="229" spans="1:3">
      <c r="A229" s="2">
        <v>218</v>
      </c>
      <c r="B229" s="1" t="s">
        <v>608</v>
      </c>
      <c r="C229" t="s">
        <v>592</v>
      </c>
    </row>
    <row r="230" spans="1:3">
      <c r="A230" s="2">
        <v>219</v>
      </c>
      <c r="B230" s="1" t="s">
        <v>1614</v>
      </c>
      <c r="C230" s="1" t="s">
        <v>1614</v>
      </c>
    </row>
    <row r="231" spans="1:3">
      <c r="A231" s="2">
        <v>220</v>
      </c>
      <c r="B231" s="1" t="s">
        <v>1622</v>
      </c>
      <c r="C231" s="1" t="s">
        <v>1623</v>
      </c>
    </row>
    <row r="232" spans="1:3">
      <c r="A232" s="2">
        <v>221</v>
      </c>
      <c r="B232" s="1" t="s">
        <v>610</v>
      </c>
      <c r="C232" s="1" t="s">
        <v>609</v>
      </c>
    </row>
    <row r="233" spans="1:3">
      <c r="A233" s="2">
        <v>222</v>
      </c>
      <c r="B233" s="1" t="s">
        <v>611</v>
      </c>
      <c r="C233" s="1" t="s">
        <v>612</v>
      </c>
    </row>
    <row r="234" spans="1:3">
      <c r="A234" s="2">
        <v>223</v>
      </c>
      <c r="B234" s="1" t="s">
        <v>613</v>
      </c>
      <c r="C234" s="1" t="s">
        <v>280</v>
      </c>
    </row>
    <row r="235" spans="1:3">
      <c r="A235" s="2">
        <v>224</v>
      </c>
      <c r="B235" s="1" t="s">
        <v>614</v>
      </c>
      <c r="C235" t="s">
        <v>281</v>
      </c>
    </row>
    <row r="236" spans="1:3" ht="25.5">
      <c r="A236" s="2">
        <v>225</v>
      </c>
      <c r="B236" s="8" t="s">
        <v>1753</v>
      </c>
      <c r="C236" s="5" t="s">
        <v>615</v>
      </c>
    </row>
    <row r="237" spans="1:3">
      <c r="A237" s="2">
        <v>226</v>
      </c>
      <c r="B237" s="1" t="s">
        <v>1231</v>
      </c>
      <c r="C237" s="1" t="s">
        <v>1232</v>
      </c>
    </row>
    <row r="238" spans="1:3">
      <c r="A238" s="2">
        <v>227</v>
      </c>
      <c r="B238" s="1" t="s">
        <v>620</v>
      </c>
      <c r="C238" s="1" t="s">
        <v>619</v>
      </c>
    </row>
    <row r="239" spans="1:3">
      <c r="A239" s="2">
        <v>228</v>
      </c>
      <c r="B239" s="1" t="s">
        <v>1691</v>
      </c>
      <c r="C239" s="1" t="s">
        <v>1692</v>
      </c>
    </row>
    <row r="240" spans="1:3">
      <c r="A240" s="2">
        <v>229</v>
      </c>
      <c r="B240" s="1" t="s">
        <v>625</v>
      </c>
      <c r="C240" s="1" t="s">
        <v>627</v>
      </c>
    </row>
    <row r="241" spans="1:3">
      <c r="A241" s="2">
        <v>230</v>
      </c>
      <c r="B241" s="1" t="s">
        <v>629</v>
      </c>
      <c r="C241" s="1" t="s">
        <v>628</v>
      </c>
    </row>
    <row r="242" spans="1:3">
      <c r="A242" s="2">
        <v>231</v>
      </c>
      <c r="B242" s="1" t="s">
        <v>639</v>
      </c>
      <c r="C242" s="1" t="s">
        <v>638</v>
      </c>
    </row>
    <row r="243" spans="1:3">
      <c r="A243" s="2">
        <v>232</v>
      </c>
      <c r="B243" s="1" t="s">
        <v>633</v>
      </c>
      <c r="C243" s="1" t="s">
        <v>630</v>
      </c>
    </row>
    <row r="244" spans="1:3">
      <c r="A244" s="2">
        <v>233</v>
      </c>
      <c r="B244" s="1" t="s">
        <v>634</v>
      </c>
      <c r="C244" s="1" t="s">
        <v>631</v>
      </c>
    </row>
    <row r="245" spans="1:3">
      <c r="A245" s="2">
        <v>234</v>
      </c>
      <c r="B245" s="1" t="s">
        <v>635</v>
      </c>
      <c r="C245" s="1" t="s">
        <v>632</v>
      </c>
    </row>
    <row r="246" spans="1:3">
      <c r="A246" s="2">
        <v>235</v>
      </c>
      <c r="B246" s="1" t="s">
        <v>641</v>
      </c>
      <c r="C246" t="s">
        <v>640</v>
      </c>
    </row>
    <row r="247" spans="1:3">
      <c r="A247" s="2">
        <v>236</v>
      </c>
      <c r="B247" s="1" t="s">
        <v>637</v>
      </c>
      <c r="C247" s="1" t="s">
        <v>285</v>
      </c>
    </row>
    <row r="248" spans="1:3">
      <c r="A248" s="2">
        <v>237</v>
      </c>
      <c r="B248" s="1" t="s">
        <v>645</v>
      </c>
      <c r="C248" s="1" t="s">
        <v>644</v>
      </c>
    </row>
    <row r="249" spans="1:3">
      <c r="A249" s="2">
        <v>238</v>
      </c>
      <c r="B249" s="1" t="s">
        <v>647</v>
      </c>
      <c r="C249" s="1" t="s">
        <v>646</v>
      </c>
    </row>
    <row r="250" spans="1:3">
      <c r="A250" s="2">
        <v>239</v>
      </c>
      <c r="B250" s="1" t="s">
        <v>660</v>
      </c>
      <c r="C250" s="1" t="s">
        <v>661</v>
      </c>
    </row>
    <row r="251" spans="1:3">
      <c r="A251" s="2">
        <v>240</v>
      </c>
      <c r="B251" s="1" t="s">
        <v>649</v>
      </c>
      <c r="C251" s="1" t="s">
        <v>648</v>
      </c>
    </row>
    <row r="252" spans="1:3" ht="25.5">
      <c r="A252" s="2">
        <v>241</v>
      </c>
      <c r="B252" s="5" t="s">
        <v>659</v>
      </c>
      <c r="C252" s="5" t="s">
        <v>658</v>
      </c>
    </row>
    <row r="253" spans="1:3">
      <c r="A253" s="2">
        <v>242</v>
      </c>
      <c r="B253" s="1" t="s">
        <v>651</v>
      </c>
      <c r="C253" s="1" t="s">
        <v>650</v>
      </c>
    </row>
    <row r="254" spans="1:3">
      <c r="A254" s="2">
        <v>243</v>
      </c>
      <c r="B254" s="1" t="s">
        <v>654</v>
      </c>
      <c r="C254" s="1" t="s">
        <v>652</v>
      </c>
    </row>
    <row r="255" spans="1:3">
      <c r="A255" s="2">
        <v>244</v>
      </c>
      <c r="B255" s="1" t="s">
        <v>655</v>
      </c>
      <c r="C255" s="1" t="s">
        <v>653</v>
      </c>
    </row>
    <row r="256" spans="1:3">
      <c r="A256" s="2">
        <v>245</v>
      </c>
      <c r="B256" s="1" t="s">
        <v>656</v>
      </c>
      <c r="C256" s="1" t="s">
        <v>657</v>
      </c>
    </row>
    <row r="257" spans="1:3">
      <c r="A257" s="2">
        <v>246</v>
      </c>
      <c r="B257" s="1" t="s">
        <v>665</v>
      </c>
      <c r="C257" s="1" t="s">
        <v>664</v>
      </c>
    </row>
    <row r="258" spans="1:3">
      <c r="A258" s="2">
        <v>247</v>
      </c>
      <c r="B258" s="1" t="s">
        <v>1252</v>
      </c>
      <c r="C258" s="1" t="s">
        <v>1251</v>
      </c>
    </row>
    <row r="259" spans="1:3">
      <c r="A259" s="2">
        <v>248</v>
      </c>
      <c r="B259" s="1" t="s">
        <v>1583</v>
      </c>
      <c r="C259" s="1" t="s">
        <v>1584</v>
      </c>
    </row>
    <row r="260" spans="1:3">
      <c r="A260" s="2">
        <v>249</v>
      </c>
      <c r="B260" s="1" t="s">
        <v>1282</v>
      </c>
      <c r="C260" s="1" t="s">
        <v>1279</v>
      </c>
    </row>
    <row r="261" spans="1:3">
      <c r="A261" s="2">
        <v>250</v>
      </c>
      <c r="B261" s="1" t="s">
        <v>1287</v>
      </c>
      <c r="C261" s="1" t="s">
        <v>1288</v>
      </c>
    </row>
    <row r="262" spans="1:3">
      <c r="A262" s="2">
        <v>251</v>
      </c>
      <c r="B262" s="1" t="s">
        <v>1289</v>
      </c>
      <c r="C262" s="1" t="s">
        <v>1290</v>
      </c>
    </row>
    <row r="263" spans="1:3">
      <c r="A263" s="2">
        <v>252</v>
      </c>
      <c r="B263" s="1" t="s">
        <v>1291</v>
      </c>
      <c r="C263" s="1" t="s">
        <v>1292</v>
      </c>
    </row>
    <row r="264" spans="1:3">
      <c r="A264" s="2">
        <v>253</v>
      </c>
      <c r="B264" s="1" t="s">
        <v>1317</v>
      </c>
      <c r="C264" s="1" t="s">
        <v>1318</v>
      </c>
    </row>
    <row r="265" spans="1:3">
      <c r="A265" s="2">
        <v>254</v>
      </c>
      <c r="B265" s="1" t="s">
        <v>1358</v>
      </c>
      <c r="C265" s="1" t="s">
        <v>1361</v>
      </c>
    </row>
    <row r="266" spans="1:3">
      <c r="A266" s="2">
        <v>255</v>
      </c>
      <c r="B266" s="1" t="s">
        <v>1305</v>
      </c>
      <c r="C266" s="1" t="s">
        <v>1306</v>
      </c>
    </row>
    <row r="267" spans="1:3">
      <c r="A267" s="2">
        <v>256</v>
      </c>
      <c r="B267" s="1" t="s">
        <v>1370</v>
      </c>
      <c r="C267" s="1" t="s">
        <v>1367</v>
      </c>
    </row>
    <row r="268" spans="1:3">
      <c r="A268" s="2">
        <v>257</v>
      </c>
      <c r="B268" t="s">
        <v>1312</v>
      </c>
      <c r="C268" t="s">
        <v>1311</v>
      </c>
    </row>
    <row r="269" spans="1:3" ht="25.5">
      <c r="A269" s="2">
        <v>258</v>
      </c>
      <c r="B269" s="5" t="s">
        <v>1618</v>
      </c>
      <c r="C269" s="15" t="s">
        <v>1619</v>
      </c>
    </row>
    <row r="270" spans="1:3" ht="25.5">
      <c r="A270" s="2">
        <v>259</v>
      </c>
      <c r="B270" s="17" t="s">
        <v>1313</v>
      </c>
      <c r="C270" s="15" t="s">
        <v>1314</v>
      </c>
    </row>
    <row r="271" spans="1:3">
      <c r="A271" s="2">
        <v>260</v>
      </c>
      <c r="B271" t="s">
        <v>1315</v>
      </c>
      <c r="C271" s="15" t="s">
        <v>1316</v>
      </c>
    </row>
    <row r="272" spans="1:3">
      <c r="A272" s="2">
        <v>261</v>
      </c>
      <c r="B272" s="1" t="s">
        <v>1381</v>
      </c>
      <c r="C272" s="15" t="s">
        <v>1382</v>
      </c>
    </row>
    <row r="273" spans="1:3">
      <c r="A273" s="2">
        <v>262</v>
      </c>
      <c r="B273" s="1" t="s">
        <v>1373</v>
      </c>
      <c r="C273" s="15" t="s">
        <v>1372</v>
      </c>
    </row>
    <row r="274" spans="1:3">
      <c r="A274" s="2">
        <v>263</v>
      </c>
      <c r="B274" s="1" t="s">
        <v>1699</v>
      </c>
      <c r="C274" t="s">
        <v>1700</v>
      </c>
    </row>
    <row r="275" spans="1:3">
      <c r="A275" s="2">
        <v>264</v>
      </c>
      <c r="B275" s="1" t="s">
        <v>1374</v>
      </c>
      <c r="C275" s="1" t="s">
        <v>1375</v>
      </c>
    </row>
    <row r="276" spans="1:3">
      <c r="A276" s="2">
        <v>265</v>
      </c>
      <c r="B276" s="1" t="s">
        <v>1554</v>
      </c>
      <c r="C276" s="15" t="s">
        <v>1555</v>
      </c>
    </row>
    <row r="277" spans="1:3">
      <c r="A277" s="2">
        <v>266</v>
      </c>
      <c r="B277" s="1" t="s">
        <v>1564</v>
      </c>
      <c r="C277" s="15" t="s">
        <v>1563</v>
      </c>
    </row>
    <row r="278" spans="1:3">
      <c r="A278" s="2">
        <v>267</v>
      </c>
      <c r="B278" s="1" t="s">
        <v>1824</v>
      </c>
      <c r="C278" s="1" t="s">
        <v>1824</v>
      </c>
    </row>
    <row r="279" spans="1:3">
      <c r="A279" s="2">
        <v>268</v>
      </c>
      <c r="B279" s="1" t="s">
        <v>1323</v>
      </c>
      <c r="C279" s="1" t="s">
        <v>1325</v>
      </c>
    </row>
    <row r="280" spans="1:3">
      <c r="A280" s="2">
        <v>269</v>
      </c>
      <c r="B280" s="1" t="s">
        <v>1324</v>
      </c>
      <c r="C280" t="s">
        <v>1326</v>
      </c>
    </row>
    <row r="281" spans="1:3">
      <c r="A281" s="2">
        <v>270</v>
      </c>
      <c r="B281" s="1" t="s">
        <v>1353</v>
      </c>
      <c r="C281" s="1" t="s">
        <v>1354</v>
      </c>
    </row>
    <row r="282" spans="1:3">
      <c r="A282" s="2">
        <v>271</v>
      </c>
      <c r="B282" s="1" t="s">
        <v>1557</v>
      </c>
      <c r="C282" s="215" t="s">
        <v>1556</v>
      </c>
    </row>
    <row r="283" spans="1:3">
      <c r="A283" s="2">
        <v>272</v>
      </c>
      <c r="B283" s="1" t="s">
        <v>1581</v>
      </c>
      <c r="C283" s="216" t="s">
        <v>1580</v>
      </c>
    </row>
    <row r="284" spans="1:3">
      <c r="A284" s="2">
        <v>273</v>
      </c>
      <c r="B284" s="1" t="s">
        <v>1680</v>
      </c>
      <c r="C284" s="215" t="s">
        <v>1681</v>
      </c>
    </row>
    <row r="285" spans="1:3">
      <c r="A285" s="2">
        <v>274</v>
      </c>
      <c r="B285" s="1" t="s">
        <v>1585</v>
      </c>
      <c r="C285" s="1" t="s">
        <v>1586</v>
      </c>
    </row>
    <row r="286" spans="1:3">
      <c r="A286" s="2">
        <v>275</v>
      </c>
      <c r="B286" s="1" t="s">
        <v>1574</v>
      </c>
      <c r="C286" s="1" t="s">
        <v>1573</v>
      </c>
    </row>
    <row r="287" spans="1:3">
      <c r="A287" s="2">
        <v>276</v>
      </c>
      <c r="B287" s="1" t="s">
        <v>1575</v>
      </c>
      <c r="C287" s="1" t="s">
        <v>1763</v>
      </c>
    </row>
    <row r="288" spans="1:3">
      <c r="A288" s="2">
        <v>277</v>
      </c>
      <c r="B288" s="1" t="s">
        <v>1576</v>
      </c>
      <c r="C288" s="1" t="s">
        <v>1577</v>
      </c>
    </row>
    <row r="289" spans="1:3">
      <c r="A289" s="2">
        <v>278</v>
      </c>
      <c r="B289" s="14" t="s">
        <v>1661</v>
      </c>
      <c r="C289" s="1" t="s">
        <v>1704</v>
      </c>
    </row>
    <row r="290" spans="1:3">
      <c r="A290" s="2">
        <v>279</v>
      </c>
      <c r="B290" s="1" t="s">
        <v>1621</v>
      </c>
      <c r="C290" s="15" t="s">
        <v>1620</v>
      </c>
    </row>
    <row r="291" spans="1:3">
      <c r="A291" s="2">
        <v>280</v>
      </c>
      <c r="B291" s="1" t="s">
        <v>1625</v>
      </c>
      <c r="C291" s="1" t="s">
        <v>1628</v>
      </c>
    </row>
    <row r="292" spans="1:3">
      <c r="A292" s="2">
        <v>281</v>
      </c>
      <c r="B292" s="1" t="s">
        <v>1626</v>
      </c>
      <c r="C292" t="s">
        <v>1629</v>
      </c>
    </row>
    <row r="293" spans="1:3">
      <c r="A293" s="2">
        <v>282</v>
      </c>
      <c r="B293" s="1" t="s">
        <v>1627</v>
      </c>
      <c r="C293" t="s">
        <v>1630</v>
      </c>
    </row>
    <row r="294" spans="1:3">
      <c r="A294" s="2">
        <v>283</v>
      </c>
      <c r="B294" t="s">
        <v>1651</v>
      </c>
      <c r="C294" t="s">
        <v>1652</v>
      </c>
    </row>
    <row r="295" spans="1:3">
      <c r="A295" s="2">
        <v>284</v>
      </c>
      <c r="B295" t="s">
        <v>1654</v>
      </c>
      <c r="C295" t="s">
        <v>1643</v>
      </c>
    </row>
    <row r="296" spans="1:3">
      <c r="A296" s="2">
        <v>285</v>
      </c>
      <c r="B296" t="s">
        <v>1662</v>
      </c>
      <c r="C296" t="s">
        <v>1663</v>
      </c>
    </row>
    <row r="297" spans="1:3" ht="51">
      <c r="A297" s="2">
        <v>286</v>
      </c>
      <c r="B297" s="17" t="s">
        <v>1649</v>
      </c>
      <c r="C297" s="17" t="s">
        <v>1650</v>
      </c>
    </row>
    <row r="298" spans="1:3">
      <c r="A298" s="2">
        <v>287</v>
      </c>
      <c r="B298" s="1" t="s">
        <v>1672</v>
      </c>
      <c r="C298" s="1" t="s">
        <v>1673</v>
      </c>
    </row>
    <row r="299" spans="1:3">
      <c r="A299" s="2">
        <v>288</v>
      </c>
      <c r="B299" s="1" t="s">
        <v>1697</v>
      </c>
      <c r="C299" s="1" t="s">
        <v>1698</v>
      </c>
    </row>
    <row r="300" spans="1:3">
      <c r="A300" s="2">
        <v>289</v>
      </c>
      <c r="B300" s="1" t="s">
        <v>1702</v>
      </c>
      <c r="C300" s="1" t="s">
        <v>1703</v>
      </c>
    </row>
    <row r="301" spans="1:3">
      <c r="A301" s="2">
        <v>290</v>
      </c>
      <c r="B301" s="1" t="s">
        <v>1706</v>
      </c>
      <c r="C301" s="1" t="s">
        <v>1705</v>
      </c>
    </row>
    <row r="302" spans="1:3">
      <c r="A302" s="2">
        <v>291</v>
      </c>
      <c r="B302" s="1" t="s">
        <v>1759</v>
      </c>
      <c r="C302" s="1" t="s">
        <v>1758</v>
      </c>
    </row>
    <row r="303" spans="1:3">
      <c r="A303" s="2">
        <v>292</v>
      </c>
      <c r="B303" s="1" t="s">
        <v>1767</v>
      </c>
      <c r="C303" t="s">
        <v>1766</v>
      </c>
    </row>
    <row r="304" spans="1:3">
      <c r="A304" s="2">
        <v>293</v>
      </c>
      <c r="B304" s="1" t="s">
        <v>1773</v>
      </c>
      <c r="C304" s="1" t="s">
        <v>1774</v>
      </c>
    </row>
    <row r="305" spans="1:3">
      <c r="A305" s="2">
        <v>294</v>
      </c>
      <c r="B305" s="1" t="s">
        <v>1775</v>
      </c>
      <c r="C305" s="1" t="s">
        <v>1776</v>
      </c>
    </row>
    <row r="306" spans="1:3">
      <c r="A306" s="2">
        <v>295</v>
      </c>
      <c r="B306" s="1" t="s">
        <v>1780</v>
      </c>
      <c r="C306" s="1" t="s">
        <v>1781</v>
      </c>
    </row>
    <row r="307" spans="1:3">
      <c r="A307" s="2">
        <v>296</v>
      </c>
      <c r="B307" s="1" t="s">
        <v>1783</v>
      </c>
      <c r="C307" s="1" t="s">
        <v>1782</v>
      </c>
    </row>
    <row r="308" spans="1:3">
      <c r="A308" s="2">
        <v>297</v>
      </c>
      <c r="B308" s="1" t="s">
        <v>1806</v>
      </c>
      <c r="C308" s="1" t="s">
        <v>1787</v>
      </c>
    </row>
    <row r="309" spans="1:3">
      <c r="A309" s="2">
        <v>298</v>
      </c>
      <c r="B309" t="s">
        <v>1807</v>
      </c>
      <c r="C309" s="1" t="s">
        <v>1808</v>
      </c>
    </row>
    <row r="310" spans="1:3">
      <c r="A310" s="2">
        <v>299</v>
      </c>
      <c r="B310" s="1" t="s">
        <v>1793</v>
      </c>
      <c r="C310" s="1" t="s">
        <v>1794</v>
      </c>
    </row>
    <row r="311" spans="1:3">
      <c r="A311" s="2">
        <v>300</v>
      </c>
      <c r="B311" s="1" t="s">
        <v>1805</v>
      </c>
      <c r="C311" s="1" t="s">
        <v>1796</v>
      </c>
    </row>
    <row r="312" spans="1:3">
      <c r="A312" s="2">
        <v>301</v>
      </c>
      <c r="B312" t="s">
        <v>1801</v>
      </c>
      <c r="C312" s="1" t="s">
        <v>1797</v>
      </c>
    </row>
    <row r="313" spans="1:3">
      <c r="A313" s="2">
        <v>302</v>
      </c>
      <c r="B313" t="s">
        <v>1802</v>
      </c>
      <c r="C313" s="1" t="s">
        <v>1798</v>
      </c>
    </row>
    <row r="314" spans="1:3">
      <c r="A314" s="2">
        <v>303</v>
      </c>
      <c r="B314" t="s">
        <v>1803</v>
      </c>
      <c r="C314" s="1" t="s">
        <v>1799</v>
      </c>
    </row>
    <row r="315" spans="1:3">
      <c r="A315" s="2">
        <v>304</v>
      </c>
      <c r="B315" t="s">
        <v>1804</v>
      </c>
      <c r="C315" s="1" t="s">
        <v>1800</v>
      </c>
    </row>
    <row r="316" spans="1:3">
      <c r="A316" s="2">
        <v>305</v>
      </c>
      <c r="B316" s="1" t="s">
        <v>1810</v>
      </c>
      <c r="C316" s="1" t="s">
        <v>1813</v>
      </c>
    </row>
    <row r="317" spans="1:3">
      <c r="A317" s="2">
        <v>306</v>
      </c>
      <c r="B317" s="1" t="s">
        <v>1811</v>
      </c>
      <c r="C317" s="1" t="s">
        <v>1818</v>
      </c>
    </row>
    <row r="318" spans="1:3">
      <c r="A318" s="2">
        <v>307</v>
      </c>
      <c r="B318" s="1" t="s">
        <v>1812</v>
      </c>
      <c r="C318" s="1" t="s">
        <v>1814</v>
      </c>
    </row>
    <row r="319" spans="1:3">
      <c r="A319" s="2">
        <v>308</v>
      </c>
      <c r="B319" s="1" t="s">
        <v>1841</v>
      </c>
      <c r="C319" s="1" t="s">
        <v>1842</v>
      </c>
    </row>
    <row r="320" spans="1:3">
      <c r="A320" s="2">
        <v>309</v>
      </c>
      <c r="B320" s="1" t="s">
        <v>1868</v>
      </c>
      <c r="C320" s="1" t="s">
        <v>1872</v>
      </c>
    </row>
    <row r="321" spans="1:1">
      <c r="A321" s="2">
        <v>310</v>
      </c>
    </row>
    <row r="322" spans="1:1">
      <c r="A322" s="2">
        <v>311</v>
      </c>
    </row>
    <row r="323" spans="1:1">
      <c r="A323" s="2">
        <v>312</v>
      </c>
    </row>
    <row r="324" spans="1:1">
      <c r="A324" s="2">
        <v>313</v>
      </c>
    </row>
    <row r="325" spans="1:1">
      <c r="A325" s="2">
        <v>314</v>
      </c>
    </row>
    <row r="326" spans="1:1">
      <c r="A326" s="2">
        <v>315</v>
      </c>
    </row>
    <row r="327" spans="1:1">
      <c r="A327" s="2">
        <v>316</v>
      </c>
    </row>
    <row r="328" spans="1:1">
      <c r="A328" s="2">
        <v>317</v>
      </c>
    </row>
    <row r="329" spans="1:1">
      <c r="A329" s="2">
        <v>318</v>
      </c>
    </row>
    <row r="330" spans="1:1">
      <c r="A330" s="2">
        <v>319</v>
      </c>
    </row>
    <row r="331" spans="1:1">
      <c r="A331" s="2">
        <v>320</v>
      </c>
    </row>
    <row r="332" spans="1:1">
      <c r="A332" s="2">
        <v>321</v>
      </c>
    </row>
    <row r="333" spans="1:1">
      <c r="A333" s="2">
        <v>322</v>
      </c>
    </row>
    <row r="334" spans="1:1">
      <c r="A334" s="2">
        <v>323</v>
      </c>
    </row>
    <row r="335" spans="1:1">
      <c r="A335" s="2">
        <v>324</v>
      </c>
    </row>
    <row r="336" spans="1:1">
      <c r="A336" s="2">
        <v>325</v>
      </c>
    </row>
    <row r="337" spans="1:1">
      <c r="A337" s="2">
        <v>326</v>
      </c>
    </row>
    <row r="338" spans="1:1">
      <c r="A338" s="2">
        <v>327</v>
      </c>
    </row>
    <row r="339" spans="1:1">
      <c r="A339" s="2">
        <v>328</v>
      </c>
    </row>
    <row r="340" spans="1:1">
      <c r="A340" s="2">
        <v>329</v>
      </c>
    </row>
    <row r="341" spans="1:1">
      <c r="A341" s="2">
        <v>330</v>
      </c>
    </row>
  </sheetData>
  <mergeCells count="2">
    <mergeCell ref="N6:O6"/>
    <mergeCell ref="G6:J6"/>
  </mergeCells>
  <phoneticPr fontId="46" type="noConversion"/>
  <conditionalFormatting sqref="N4">
    <cfRule type="cellIs" dxfId="5" priority="7" stopIfTrue="1" operator="equal">
      <formula>"The total number of points is not sufficient."</formula>
    </cfRule>
    <cfRule type="cellIs" dxfId="4" priority="8" stopIfTrue="1" operator="equal">
      <formula>"The total number of points is sufficient."</formula>
    </cfRule>
  </conditionalFormatting>
  <conditionalFormatting sqref="N6:N9">
    <cfRule type="cellIs" dxfId="3" priority="1" stopIfTrue="1" operator="equal">
      <formula>HLOOKUP(Language,Translation,244)</formula>
    </cfRule>
    <cfRule type="cellIs" dxfId="2" priority="2" stopIfTrue="1" operator="equal">
      <formula>HLOOKUP(Language,Translation,243)</formula>
    </cfRule>
  </conditionalFormatting>
  <conditionalFormatting sqref="O4">
    <cfRule type="cellIs" dxfId="1" priority="5" stopIfTrue="1" operator="equal">
      <formula>"Dealbreaker"</formula>
    </cfRule>
    <cfRule type="cellIs" dxfId="0" priority="6" stopIfTrue="1" operator="equal">
      <formula>"All dealbreaker passed"</formula>
    </cfRule>
  </conditionalFormatting>
  <dataValidations disablePrompts="1" count="1">
    <dataValidation type="list" allowBlank="1" showInputMessage="1" showErrorMessage="1" sqref="F172 F170 F168 F166 F164 F185 F183 F181 F192:F193 F189:F190" xr:uid="{8054BDBE-3E40-4D09-9BF2-C7ABC7B1F1FE}">
      <formula1>$W$14:$W$17</formula1>
    </dataValidation>
  </dataValidations>
  <pageMargins left="0.7" right="0.7" top="0.78740157499999996" bottom="0.78740157499999996" header="0.3" footer="0.3"/>
  <pageSetup paperSize="9" orientation="portrait" r:id="rId1"/>
  <headerFooter>
    <oddFooter>&amp;C&amp;1#&amp;"Arial"&amp;8&amp;KA6A6A6restricted</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46EF8-C445-416F-883E-9BE4EC4BB06A}">
  <dimension ref="A1:F57"/>
  <sheetViews>
    <sheetView topLeftCell="A15" workbookViewId="0">
      <pane ySplit="1" topLeftCell="A31" activePane="bottomLeft" state="frozen"/>
      <selection activeCell="A15" sqref="A15"/>
      <selection pane="bottomLeft" activeCell="C48" sqref="C48"/>
    </sheetView>
  </sheetViews>
  <sheetFormatPr baseColWidth="10" defaultColWidth="11.42578125" defaultRowHeight="12.75"/>
  <cols>
    <col min="2" max="2" width="20.5703125" bestFit="1" customWidth="1"/>
    <col min="3" max="3" width="78.7109375" bestFit="1" customWidth="1"/>
    <col min="4" max="4" width="74.42578125" customWidth="1"/>
    <col min="5" max="5" width="17.140625" bestFit="1" customWidth="1"/>
    <col min="6" max="6" width="13.28515625" bestFit="1" customWidth="1"/>
  </cols>
  <sheetData>
    <row r="1" spans="1:6" ht="15.75">
      <c r="A1" s="1036" t="s">
        <v>1713</v>
      </c>
      <c r="B1" s="1037"/>
      <c r="C1" s="1037"/>
      <c r="D1" s="1038"/>
    </row>
    <row r="2" spans="1:6" ht="13.5" thickBot="1">
      <c r="A2" s="134" t="s">
        <v>33</v>
      </c>
      <c r="B2" s="135" t="s">
        <v>387</v>
      </c>
      <c r="C2" s="135" t="s">
        <v>388</v>
      </c>
      <c r="D2" s="136" t="s">
        <v>389</v>
      </c>
    </row>
    <row r="3" spans="1:6">
      <c r="A3" s="131"/>
      <c r="B3" s="132"/>
      <c r="C3" s="132"/>
      <c r="D3" s="133"/>
    </row>
    <row r="4" spans="1:6" ht="76.5">
      <c r="A4" s="138">
        <v>43814</v>
      </c>
      <c r="B4" s="193" t="s">
        <v>1286</v>
      </c>
      <c r="C4" s="139" t="s">
        <v>1296</v>
      </c>
      <c r="D4" s="137" t="s">
        <v>390</v>
      </c>
    </row>
    <row r="5" spans="1:6">
      <c r="A5" s="138">
        <v>43900</v>
      </c>
      <c r="B5" s="193" t="s">
        <v>1283</v>
      </c>
      <c r="C5" s="194" t="s">
        <v>1295</v>
      </c>
      <c r="D5" s="195" t="s">
        <v>1285</v>
      </c>
    </row>
    <row r="6" spans="1:6" ht="25.5">
      <c r="A6" s="138">
        <v>44061</v>
      </c>
      <c r="B6" s="193" t="s">
        <v>1284</v>
      </c>
      <c r="C6" s="194" t="s">
        <v>1297</v>
      </c>
      <c r="D6" s="195" t="s">
        <v>1285</v>
      </c>
    </row>
    <row r="7" spans="1:6" ht="63.75">
      <c r="A7" s="138">
        <v>44181</v>
      </c>
      <c r="B7" s="196" t="s">
        <v>1294</v>
      </c>
      <c r="C7" s="204" t="s">
        <v>1329</v>
      </c>
      <c r="D7" s="203" t="s">
        <v>1328</v>
      </c>
    </row>
    <row r="8" spans="1:6">
      <c r="A8" s="138">
        <v>44377</v>
      </c>
      <c r="B8" s="193" t="s">
        <v>1364</v>
      </c>
      <c r="C8" s="193" t="s">
        <v>1365</v>
      </c>
      <c r="D8" s="203" t="s">
        <v>1366</v>
      </c>
    </row>
    <row r="9" spans="1:6" ht="63.75">
      <c r="A9" s="138">
        <v>44634</v>
      </c>
      <c r="B9" s="193" t="s">
        <v>1371</v>
      </c>
      <c r="C9" s="204" t="s">
        <v>1578</v>
      </c>
      <c r="D9" s="203" t="s">
        <v>1579</v>
      </c>
    </row>
    <row r="10" spans="1:6">
      <c r="A10" s="138">
        <v>44685</v>
      </c>
      <c r="B10" s="196" t="s">
        <v>1615</v>
      </c>
      <c r="C10" s="196" t="s">
        <v>1617</v>
      </c>
      <c r="D10" s="137" t="s">
        <v>1616</v>
      </c>
    </row>
    <row r="11" spans="1:6">
      <c r="A11" s="138">
        <v>44798</v>
      </c>
      <c r="B11" s="196" t="s">
        <v>1664</v>
      </c>
      <c r="C11" s="196" t="s">
        <v>1666</v>
      </c>
      <c r="D11" s="137" t="s">
        <v>1665</v>
      </c>
    </row>
    <row r="12" spans="1:6">
      <c r="A12" s="138">
        <v>44812</v>
      </c>
      <c r="B12" s="196" t="s">
        <v>1670</v>
      </c>
      <c r="C12" s="204" t="s">
        <v>1679</v>
      </c>
      <c r="D12" s="203" t="s">
        <v>1671</v>
      </c>
    </row>
    <row r="13" spans="1:6">
      <c r="A13" s="138">
        <v>44832</v>
      </c>
      <c r="B13" s="196" t="s">
        <v>1682</v>
      </c>
      <c r="C13" s="193" t="s">
        <v>1683</v>
      </c>
      <c r="D13" s="137" t="s">
        <v>1665</v>
      </c>
    </row>
    <row r="14" spans="1:6" ht="25.5">
      <c r="A14" s="138">
        <v>44888</v>
      </c>
      <c r="B14" s="196" t="s">
        <v>1684</v>
      </c>
      <c r="C14" s="204" t="s">
        <v>1686</v>
      </c>
      <c r="D14" s="203" t="s">
        <v>1685</v>
      </c>
    </row>
    <row r="15" spans="1:6" ht="27" customHeight="1">
      <c r="A15" s="244" t="s">
        <v>1728</v>
      </c>
      <c r="B15" s="244" t="s">
        <v>1729</v>
      </c>
      <c r="C15" s="245" t="s">
        <v>1730</v>
      </c>
      <c r="D15" s="252" t="s">
        <v>1731</v>
      </c>
      <c r="E15" s="244" t="s">
        <v>1732</v>
      </c>
      <c r="F15" s="244" t="s">
        <v>1733</v>
      </c>
    </row>
    <row r="16" spans="1:6">
      <c r="A16" s="246" t="s">
        <v>1744</v>
      </c>
      <c r="B16" s="246" t="s">
        <v>1734</v>
      </c>
      <c r="C16" s="247" t="s">
        <v>1735</v>
      </c>
      <c r="D16" s="248">
        <v>44888</v>
      </c>
      <c r="E16" s="249" t="s">
        <v>1736</v>
      </c>
      <c r="F16" s="249" t="s">
        <v>1737</v>
      </c>
    </row>
    <row r="17" spans="1:6">
      <c r="A17" s="253" t="s">
        <v>1749</v>
      </c>
      <c r="B17" s="250" t="s">
        <v>379</v>
      </c>
      <c r="C17" s="251" t="s">
        <v>1738</v>
      </c>
      <c r="D17" s="101" t="s">
        <v>1739</v>
      </c>
      <c r="E17" s="6" t="s">
        <v>1740</v>
      </c>
      <c r="F17" s="6" t="s">
        <v>1736</v>
      </c>
    </row>
    <row r="18" spans="1:6">
      <c r="A18" s="253" t="s">
        <v>1745</v>
      </c>
      <c r="B18" s="250" t="s">
        <v>1746</v>
      </c>
      <c r="C18" s="250" t="s">
        <v>1742</v>
      </c>
      <c r="D18" s="101" t="s">
        <v>1743</v>
      </c>
      <c r="E18" s="6" t="s">
        <v>1736</v>
      </c>
      <c r="F18" s="6" t="s">
        <v>1736</v>
      </c>
    </row>
    <row r="19" spans="1:6">
      <c r="A19" s="253" t="s">
        <v>1745</v>
      </c>
      <c r="B19" s="250" t="s">
        <v>1741</v>
      </c>
      <c r="C19" s="251" t="s">
        <v>1747</v>
      </c>
      <c r="D19" s="101" t="s">
        <v>1748</v>
      </c>
      <c r="E19" s="6" t="s">
        <v>1736</v>
      </c>
      <c r="F19" s="6" t="s">
        <v>1736</v>
      </c>
    </row>
    <row r="20" spans="1:6">
      <c r="A20" s="253" t="s">
        <v>1751</v>
      </c>
      <c r="B20" s="250" t="s">
        <v>1752</v>
      </c>
      <c r="C20" s="250" t="s">
        <v>1754</v>
      </c>
      <c r="D20" s="101" t="s">
        <v>1755</v>
      </c>
      <c r="E20" s="6" t="s">
        <v>1736</v>
      </c>
      <c r="F20" s="6" t="s">
        <v>1736</v>
      </c>
    </row>
    <row r="21" spans="1:6">
      <c r="A21" s="253" t="s">
        <v>1756</v>
      </c>
      <c r="B21" s="250" t="s">
        <v>1752</v>
      </c>
      <c r="C21" s="251" t="s">
        <v>1757</v>
      </c>
      <c r="D21" s="101" t="s">
        <v>1768</v>
      </c>
      <c r="E21" s="6" t="s">
        <v>1740</v>
      </c>
      <c r="F21" s="6" t="s">
        <v>1736</v>
      </c>
    </row>
    <row r="22" spans="1:6">
      <c r="A22" s="253" t="s">
        <v>1756</v>
      </c>
      <c r="B22" s="250" t="s">
        <v>1765</v>
      </c>
      <c r="C22" s="251" t="s">
        <v>1762</v>
      </c>
      <c r="D22" s="101" t="s">
        <v>1764</v>
      </c>
      <c r="E22" s="6" t="s">
        <v>1736</v>
      </c>
      <c r="F22" s="6" t="s">
        <v>1736</v>
      </c>
    </row>
    <row r="23" spans="1:6">
      <c r="A23" s="253" t="s">
        <v>1777</v>
      </c>
      <c r="B23" s="250" t="s">
        <v>1752</v>
      </c>
      <c r="C23" s="250" t="s">
        <v>1778</v>
      </c>
      <c r="D23" s="101"/>
      <c r="E23" s="6" t="s">
        <v>1779</v>
      </c>
      <c r="F23" s="6" t="s">
        <v>1736</v>
      </c>
    </row>
    <row r="24" spans="1:6">
      <c r="A24" s="253" t="s">
        <v>1784</v>
      </c>
      <c r="B24" s="250" t="s">
        <v>1746</v>
      </c>
      <c r="C24" s="251" t="s">
        <v>1785</v>
      </c>
      <c r="D24" s="101" t="s">
        <v>1786</v>
      </c>
      <c r="E24" s="6" t="s">
        <v>1736</v>
      </c>
      <c r="F24" s="6" t="s">
        <v>1736</v>
      </c>
    </row>
    <row r="25" spans="1:6">
      <c r="A25" s="253" t="s">
        <v>1788</v>
      </c>
      <c r="B25" s="250" t="s">
        <v>1746</v>
      </c>
      <c r="C25" s="251" t="s">
        <v>1785</v>
      </c>
      <c r="D25" s="101" t="s">
        <v>1786</v>
      </c>
      <c r="E25" s="6" t="s">
        <v>1736</v>
      </c>
      <c r="F25" s="6" t="s">
        <v>1736</v>
      </c>
    </row>
    <row r="26" spans="1:6">
      <c r="A26" s="253" t="s">
        <v>1788</v>
      </c>
      <c r="B26" s="250" t="s">
        <v>1752</v>
      </c>
      <c r="C26" s="251" t="s">
        <v>1792</v>
      </c>
      <c r="D26" s="101" t="s">
        <v>1789</v>
      </c>
      <c r="E26" s="6" t="s">
        <v>1790</v>
      </c>
      <c r="F26" s="6" t="s">
        <v>1736</v>
      </c>
    </row>
    <row r="27" spans="1:6">
      <c r="A27" s="253" t="s">
        <v>1815</v>
      </c>
      <c r="B27" s="250" t="s">
        <v>1752</v>
      </c>
      <c r="C27" s="251" t="s">
        <v>1816</v>
      </c>
      <c r="D27" s="101" t="s">
        <v>1817</v>
      </c>
      <c r="E27" s="6" t="s">
        <v>1736</v>
      </c>
      <c r="F27" s="6" t="s">
        <v>1736</v>
      </c>
    </row>
    <row r="28" spans="1:6">
      <c r="A28" s="253" t="s">
        <v>1821</v>
      </c>
      <c r="B28" s="250" t="s">
        <v>1765</v>
      </c>
      <c r="C28" s="251" t="s">
        <v>1822</v>
      </c>
      <c r="D28" s="101" t="s">
        <v>1823</v>
      </c>
      <c r="E28" s="6" t="s">
        <v>1737</v>
      </c>
      <c r="F28" s="6" t="s">
        <v>1736</v>
      </c>
    </row>
    <row r="29" spans="1:6">
      <c r="A29" s="253" t="s">
        <v>1821</v>
      </c>
      <c r="B29" s="250" t="s">
        <v>1752</v>
      </c>
      <c r="C29" s="251" t="s">
        <v>1825</v>
      </c>
      <c r="D29" s="101" t="s">
        <v>1826</v>
      </c>
      <c r="E29" s="6" t="s">
        <v>1737</v>
      </c>
      <c r="F29" s="6" t="s">
        <v>1736</v>
      </c>
    </row>
    <row r="30" spans="1:6">
      <c r="A30" s="253" t="s">
        <v>1827</v>
      </c>
      <c r="B30" s="250" t="s">
        <v>1752</v>
      </c>
      <c r="C30" s="251" t="s">
        <v>1829</v>
      </c>
      <c r="D30" s="101" t="s">
        <v>1830</v>
      </c>
      <c r="E30" s="6" t="s">
        <v>1737</v>
      </c>
      <c r="F30" s="6" t="s">
        <v>1736</v>
      </c>
    </row>
    <row r="31" spans="1:6">
      <c r="A31" s="246" t="s">
        <v>1750</v>
      </c>
      <c r="B31" s="246" t="s">
        <v>1734</v>
      </c>
      <c r="C31" s="247" t="s">
        <v>1735</v>
      </c>
      <c r="D31" s="248">
        <v>45015</v>
      </c>
      <c r="E31" s="249" t="s">
        <v>1736</v>
      </c>
      <c r="F31" s="249" t="s">
        <v>1737</v>
      </c>
    </row>
    <row r="32" spans="1:6">
      <c r="A32" s="257" t="s">
        <v>42</v>
      </c>
      <c r="B32" s="250" t="s">
        <v>1831</v>
      </c>
      <c r="C32" s="251" t="s">
        <v>1832</v>
      </c>
      <c r="D32" s="101" t="s">
        <v>1833</v>
      </c>
      <c r="E32" s="6" t="s">
        <v>1737</v>
      </c>
      <c r="F32" s="6" t="s">
        <v>1736</v>
      </c>
    </row>
    <row r="33" spans="1:6">
      <c r="A33" s="246" t="s">
        <v>42</v>
      </c>
      <c r="B33" s="246" t="s">
        <v>1734</v>
      </c>
      <c r="C33" s="247" t="s">
        <v>1735</v>
      </c>
      <c r="D33" s="248">
        <v>45084</v>
      </c>
      <c r="E33" s="249" t="s">
        <v>1736</v>
      </c>
      <c r="F33" s="249" t="s">
        <v>1737</v>
      </c>
    </row>
    <row r="34" spans="1:6">
      <c r="A34" s="257" t="s">
        <v>43</v>
      </c>
      <c r="B34" s="250" t="s">
        <v>1765</v>
      </c>
      <c r="C34" s="251" t="s">
        <v>1839</v>
      </c>
      <c r="E34" s="6" t="s">
        <v>1838</v>
      </c>
      <c r="F34" s="6" t="s">
        <v>1736</v>
      </c>
    </row>
    <row r="35" spans="1:6">
      <c r="A35" s="257" t="s">
        <v>43</v>
      </c>
      <c r="B35" s="250" t="s">
        <v>1752</v>
      </c>
      <c r="C35" s="251" t="s">
        <v>1840</v>
      </c>
      <c r="E35" s="6" t="s">
        <v>1736</v>
      </c>
      <c r="F35" s="6" t="s">
        <v>1736</v>
      </c>
    </row>
    <row r="36" spans="1:6">
      <c r="A36" s="257" t="s">
        <v>43</v>
      </c>
      <c r="B36" s="250" t="s">
        <v>379</v>
      </c>
      <c r="C36" s="251" t="s">
        <v>1857</v>
      </c>
      <c r="D36" s="1" t="s">
        <v>1858</v>
      </c>
      <c r="E36" s="6" t="s">
        <v>1736</v>
      </c>
      <c r="F36" s="6" t="s">
        <v>1736</v>
      </c>
    </row>
    <row r="37" spans="1:6">
      <c r="A37" s="257" t="s">
        <v>43</v>
      </c>
      <c r="B37" s="250" t="s">
        <v>1752</v>
      </c>
      <c r="C37" s="251" t="s">
        <v>1859</v>
      </c>
      <c r="D37" s="1" t="s">
        <v>1843</v>
      </c>
      <c r="E37" s="6" t="s">
        <v>1737</v>
      </c>
      <c r="F37" s="6" t="s">
        <v>1736</v>
      </c>
    </row>
    <row r="38" spans="1:6">
      <c r="A38" s="246" t="s">
        <v>43</v>
      </c>
      <c r="B38" s="246" t="s">
        <v>1734</v>
      </c>
      <c r="C38" s="247" t="s">
        <v>1735</v>
      </c>
      <c r="D38" s="248">
        <v>45229</v>
      </c>
      <c r="E38" s="249" t="s">
        <v>1736</v>
      </c>
      <c r="F38" s="249" t="s">
        <v>1737</v>
      </c>
    </row>
    <row r="39" spans="1:6">
      <c r="A39" s="257" t="s">
        <v>1860</v>
      </c>
      <c r="B39" s="250" t="s">
        <v>1831</v>
      </c>
      <c r="C39" s="251" t="s">
        <v>1861</v>
      </c>
      <c r="D39" t="s">
        <v>1862</v>
      </c>
      <c r="E39" s="6" t="s">
        <v>1737</v>
      </c>
      <c r="F39" s="6" t="s">
        <v>1736</v>
      </c>
    </row>
    <row r="40" spans="1:6">
      <c r="A40" s="257" t="s">
        <v>1864</v>
      </c>
      <c r="B40" s="250" t="s">
        <v>1752</v>
      </c>
      <c r="C40" s="251" t="s">
        <v>1865</v>
      </c>
      <c r="D40" t="s">
        <v>1867</v>
      </c>
      <c r="E40" s="6" t="s">
        <v>1866</v>
      </c>
      <c r="F40" s="6" t="s">
        <v>1736</v>
      </c>
    </row>
    <row r="41" spans="1:6">
      <c r="A41" s="257" t="s">
        <v>1864</v>
      </c>
      <c r="B41" s="250" t="s">
        <v>1752</v>
      </c>
      <c r="C41" s="251" t="s">
        <v>1869</v>
      </c>
      <c r="E41" s="6" t="s">
        <v>1736</v>
      </c>
      <c r="F41" s="6" t="s">
        <v>1736</v>
      </c>
    </row>
    <row r="42" spans="1:6">
      <c r="A42" s="257" t="s">
        <v>1871</v>
      </c>
      <c r="B42" s="250" t="s">
        <v>1765</v>
      </c>
      <c r="C42" s="251" t="s">
        <v>1870</v>
      </c>
      <c r="E42" s="6" t="s">
        <v>1736</v>
      </c>
      <c r="F42" s="6" t="s">
        <v>1736</v>
      </c>
    </row>
    <row r="43" spans="1:6">
      <c r="A43" s="246" t="s">
        <v>46</v>
      </c>
      <c r="B43" s="246" t="s">
        <v>1734</v>
      </c>
      <c r="C43" s="247" t="s">
        <v>1735</v>
      </c>
      <c r="D43" s="248">
        <v>45365</v>
      </c>
      <c r="E43" s="249" t="s">
        <v>1736</v>
      </c>
      <c r="F43" s="249" t="s">
        <v>1737</v>
      </c>
    </row>
    <row r="44" spans="1:6">
      <c r="A44" s="257"/>
    </row>
    <row r="45" spans="1:6">
      <c r="A45" s="257"/>
    </row>
    <row r="46" spans="1:6">
      <c r="A46" s="257"/>
    </row>
    <row r="47" spans="1:6">
      <c r="A47" s="257"/>
    </row>
    <row r="48" spans="1:6">
      <c r="A48" s="257"/>
    </row>
    <row r="49" spans="1:1">
      <c r="A49" s="257"/>
    </row>
    <row r="50" spans="1:1">
      <c r="A50" s="257"/>
    </row>
    <row r="51" spans="1:1">
      <c r="A51" s="257"/>
    </row>
    <row r="52" spans="1:1">
      <c r="A52" s="257"/>
    </row>
    <row r="53" spans="1:1">
      <c r="A53" s="257"/>
    </row>
    <row r="54" spans="1:1">
      <c r="A54" s="257"/>
    </row>
    <row r="55" spans="1:1">
      <c r="A55" s="257"/>
    </row>
    <row r="56" spans="1:1">
      <c r="A56" s="257"/>
    </row>
    <row r="57" spans="1:1">
      <c r="A57" s="257"/>
    </row>
  </sheetData>
  <mergeCells count="1">
    <mergeCell ref="A1:D1"/>
  </mergeCells>
  <phoneticPr fontId="46" type="noConversion"/>
  <pageMargins left="0.7" right="0.7" top="0.78740157499999996" bottom="0.78740157499999996" header="0.3" footer="0.3"/>
  <pageSetup paperSize="9" orientation="portrait" r:id="rId1"/>
  <headerFooter>
    <oddFooter>&amp;C&amp;1#&amp;"Arial"&amp;8&amp;KA6A6A6restricted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36</vt:i4>
      </vt:variant>
    </vt:vector>
  </HeadingPairs>
  <TitlesOfParts>
    <vt:vector size="45" baseType="lpstr">
      <vt:lpstr>Data Protection Information</vt:lpstr>
      <vt:lpstr>Explanation</vt:lpstr>
      <vt:lpstr>A Company Profile</vt:lpstr>
      <vt:lpstr>B Financial &amp; C Quality</vt:lpstr>
      <vt:lpstr>D HSE Evaluation</vt:lpstr>
      <vt:lpstr>E Social Responsibility</vt:lpstr>
      <vt:lpstr>F Supplier Approval Form</vt:lpstr>
      <vt:lpstr>Language table</vt:lpstr>
      <vt:lpstr>Revision list</vt:lpstr>
      <vt:lpstr>Approval</vt:lpstr>
      <vt:lpstr>BPC</vt:lpstr>
      <vt:lpstr>Conditions</vt:lpstr>
      <vt:lpstr>Country</vt:lpstr>
      <vt:lpstr>CScat</vt:lpstr>
      <vt:lpstr>Currency</vt:lpstr>
      <vt:lpstr>CurrencyShort</vt:lpstr>
      <vt:lpstr>CyberSecurity</vt:lpstr>
      <vt:lpstr>Decision</vt:lpstr>
      <vt:lpstr>'A Company Profile'!Druckbereich</vt:lpstr>
      <vt:lpstr>'B Financial &amp; C Quality'!Druckbereich</vt:lpstr>
      <vt:lpstr>'D HSE Evaluation'!Druckbereich</vt:lpstr>
      <vt:lpstr>'Data Protection Information'!Druckbereich</vt:lpstr>
      <vt:lpstr>'E Social Responsibility'!Druckbereich</vt:lpstr>
      <vt:lpstr>Explanation!Druckbereich</vt:lpstr>
      <vt:lpstr>'F Supplier Approval Form'!Druckbereich</vt:lpstr>
      <vt:lpstr>'D HSE Evaluation'!Drucktitel</vt:lpstr>
      <vt:lpstr>'E Social Responsibility'!Drucktitel</vt:lpstr>
      <vt:lpstr>'F Supplier Approval Form'!Drucktitel</vt:lpstr>
      <vt:lpstr>Incoterms</vt:lpstr>
      <vt:lpstr>Insurance</vt:lpstr>
      <vt:lpstr>Lab</vt:lpstr>
      <vt:lpstr>Language</vt:lpstr>
      <vt:lpstr>Rating</vt:lpstr>
      <vt:lpstr>Requirements</vt:lpstr>
      <vt:lpstr>SAP</vt:lpstr>
      <vt:lpstr>Selection</vt:lpstr>
      <vt:lpstr>Selection2</vt:lpstr>
      <vt:lpstr>Selection3</vt:lpstr>
      <vt:lpstr>Selection4</vt:lpstr>
      <vt:lpstr>TC</vt:lpstr>
      <vt:lpstr>TCname</vt:lpstr>
      <vt:lpstr>Translation</vt:lpstr>
      <vt:lpstr>Usage</vt:lpstr>
      <vt:lpstr>VC</vt:lpstr>
      <vt:lpstr>VendorClass</vt:lpstr>
    </vt:vector>
  </TitlesOfParts>
  <Company>Benteler Automotive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Timreck</dc:creator>
  <cp:lastModifiedBy>Meike Wippermann</cp:lastModifiedBy>
  <cp:lastPrinted>2024-03-14T08:14:32Z</cp:lastPrinted>
  <dcterms:created xsi:type="dcterms:W3CDTF">2009-07-28T20:15:29Z</dcterms:created>
  <dcterms:modified xsi:type="dcterms:W3CDTF">2024-03-26T10:22:49Z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d034ca-24b7-43db-aeb7-3325b59f2302_Enabled">
    <vt:lpwstr>true</vt:lpwstr>
  </property>
  <property fmtid="{D5CDD505-2E9C-101B-9397-08002B2CF9AE}" pid="3" name="MSIP_Label_ded034ca-24b7-43db-aeb7-3325b59f2302_SetDate">
    <vt:lpwstr>2023-06-07T06:15:06Z</vt:lpwstr>
  </property>
  <property fmtid="{D5CDD505-2E9C-101B-9397-08002B2CF9AE}" pid="4" name="MSIP_Label_ded034ca-24b7-43db-aeb7-3325b59f2302_Method">
    <vt:lpwstr>Standard</vt:lpwstr>
  </property>
  <property fmtid="{D5CDD505-2E9C-101B-9397-08002B2CF9AE}" pid="5" name="MSIP_Label_ded034ca-24b7-43db-aeb7-3325b59f2302_Name">
    <vt:lpwstr>Restricted</vt:lpwstr>
  </property>
  <property fmtid="{D5CDD505-2E9C-101B-9397-08002B2CF9AE}" pid="6" name="MSIP_Label_ded034ca-24b7-43db-aeb7-3325b59f2302_SiteId">
    <vt:lpwstr>bb2da9be-ab20-443b-a93e-baf7506f7433</vt:lpwstr>
  </property>
  <property fmtid="{D5CDD505-2E9C-101B-9397-08002B2CF9AE}" pid="7" name="MSIP_Label_ded034ca-24b7-43db-aeb7-3325b59f2302_ActionId">
    <vt:lpwstr>69944cd9-70cf-454d-8e42-e8bfac148848</vt:lpwstr>
  </property>
  <property fmtid="{D5CDD505-2E9C-101B-9397-08002B2CF9AE}" pid="8" name="MSIP_Label_ded034ca-24b7-43db-aeb7-3325b59f2302_ContentBits">
    <vt:lpwstr>2</vt:lpwstr>
  </property>
</Properties>
</file>